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akalashvili\Desktop\M2\PR\გელოვანი - მე-3 ფაზა გზის დაგება\"/>
    </mc:Choice>
  </mc:AlternateContent>
  <xr:revisionPtr revIDLastSave="0" documentId="13_ncr:1_{9308EAAD-15BC-4A38-AC17-7BCEADF91118}" xr6:coauthVersionLast="47" xr6:coauthVersionMax="47" xr10:uidLastSave="{00000000-0000-0000-0000-000000000000}"/>
  <bookViews>
    <workbookView xWindow="-120" yWindow="-120" windowWidth="29040" windowHeight="15840" xr2:uid="{4126BC04-37EE-4E61-B208-89FDD83695A2}"/>
  </bookViews>
  <sheets>
    <sheet name="BOQ - გზა და კედლები" sheetId="1" r:id="rId1"/>
  </sheets>
  <definedNames>
    <definedName name="_xlnm._FilterDatabase" localSheetId="0" hidden="1">'BOQ - გზა და კედლები'!$A$7:$K$96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1" l="1"/>
  <c r="D83" i="1"/>
  <c r="D80" i="1"/>
  <c r="D81" i="1" s="1"/>
  <c r="D79" i="1"/>
  <c r="D77" i="1"/>
  <c r="D76" i="1"/>
  <c r="D75" i="1"/>
  <c r="A74" i="1"/>
  <c r="D73" i="1"/>
  <c r="D72" i="1"/>
  <c r="D71" i="1"/>
  <c r="A70" i="1"/>
  <c r="D69" i="1"/>
  <c r="D68" i="1"/>
  <c r="D67" i="1"/>
  <c r="D64" i="1"/>
  <c r="D63" i="1"/>
  <c r="D61" i="1"/>
  <c r="D60" i="1"/>
  <c r="D59" i="1"/>
  <c r="D58" i="1"/>
  <c r="A57" i="1"/>
  <c r="D56" i="1"/>
  <c r="D55" i="1"/>
  <c r="D53" i="1"/>
  <c r="D52" i="1"/>
  <c r="D51" i="1"/>
  <c r="D50" i="1"/>
  <c r="D48" i="1"/>
  <c r="D47" i="1"/>
  <c r="A46" i="1"/>
  <c r="D45" i="1"/>
  <c r="D44" i="1"/>
  <c r="D43" i="1"/>
  <c r="D40" i="1"/>
  <c r="A39" i="1"/>
  <c r="D38" i="1"/>
  <c r="D37" i="1"/>
  <c r="D36" i="1"/>
  <c r="D33" i="1"/>
  <c r="D32" i="1"/>
  <c r="D31" i="1"/>
  <c r="D30" i="1"/>
  <c r="D29" i="1"/>
  <c r="D28" i="1"/>
  <c r="D27" i="1"/>
  <c r="D26" i="1"/>
  <c r="D25" i="1"/>
  <c r="D24" i="1"/>
  <c r="D23" i="1"/>
  <c r="A22" i="1"/>
  <c r="D21" i="1"/>
  <c r="D20" i="1"/>
  <c r="D19" i="1"/>
  <c r="A18" i="1"/>
  <c r="D16" i="1"/>
  <c r="D15" i="1"/>
  <c r="D14" i="1"/>
  <c r="D13" i="1"/>
  <c r="D11" i="1"/>
  <c r="D10" i="1"/>
  <c r="A9" i="1"/>
  <c r="A62" i="1" s="1"/>
  <c r="J86" i="1" l="1"/>
  <c r="J88" i="1" s="1"/>
  <c r="H86" i="1"/>
  <c r="H88" i="1" s="1"/>
  <c r="K86" i="1"/>
  <c r="A12" i="1"/>
  <c r="A54" i="1"/>
  <c r="A78" i="1"/>
  <c r="A35" i="1"/>
  <c r="A42" i="1"/>
  <c r="F86" i="1"/>
  <c r="A49" i="1"/>
  <c r="A66" i="1"/>
  <c r="A82" i="1"/>
  <c r="F87" i="1" l="1"/>
  <c r="K87" i="1" s="1"/>
  <c r="K88" i="1" s="1"/>
  <c r="K89" i="1" s="1"/>
  <c r="K90" i="1" s="1"/>
  <c r="F88" i="1" l="1"/>
  <c r="K91" i="1"/>
  <c r="K92" i="1" s="1"/>
  <c r="K93" i="1" l="1"/>
  <c r="K94" i="1" s="1"/>
  <c r="K95" i="1" s="1"/>
  <c r="K96" i="1" s="1"/>
  <c r="K99" i="1" s="1"/>
</calcChain>
</file>

<file path=xl/sharedStrings.xml><?xml version="1.0" encoding="utf-8"?>
<sst xmlns="http://schemas.openxmlformats.org/spreadsheetml/2006/main" count="178" uniqueCount="80">
  <si>
    <t>სანაპიროდან ამოსასვლელი გზის</t>
  </si>
  <si>
    <t>ხარჯთაღრიცხვა</t>
  </si>
  <si>
    <t>N</t>
  </si>
  <si>
    <t>სამუშაოების, ხარჯების დასახელება</t>
  </si>
  <si>
    <t>განზ. ერთ</t>
  </si>
  <si>
    <t xml:space="preserve">რ-ბა   </t>
  </si>
  <si>
    <t xml:space="preserve">მასალა            </t>
  </si>
  <si>
    <t>ხელფასი</t>
  </si>
  <si>
    <t>მანქანა-მექანიზმები</t>
  </si>
  <si>
    <t>ჯამი</t>
  </si>
  <si>
    <t xml:space="preserve">ერთ-ზე  </t>
  </si>
  <si>
    <t>სულ</t>
  </si>
  <si>
    <t>მოსამზადებელი სამუშაოები</t>
  </si>
  <si>
    <t xml:space="preserve">გრუნტის მოჭრა და გატანა </t>
  </si>
  <si>
    <t>კუბ.მ</t>
  </si>
  <si>
    <t>ექსკავატორი</t>
  </si>
  <si>
    <t>ავტოთვითმცლელები</t>
  </si>
  <si>
    <t>რეისი</t>
  </si>
  <si>
    <t>ყრილისთვის ბალასტის შემოტანა, გაშლა და დატკეპნა</t>
  </si>
  <si>
    <t>კაც/სთ</t>
  </si>
  <si>
    <t>ბალასტი</t>
  </si>
  <si>
    <t>ავტოგრეიდერი საშუალო ტიპის 108ცხ.ძ</t>
  </si>
  <si>
    <t>მანქ.სთ</t>
  </si>
  <si>
    <t>სატკეპნი საგზაო თვითმავალი გლუვი 18ტ</t>
  </si>
  <si>
    <t>საყრდენი კედლები ( ს/კ 1;2;3 )</t>
  </si>
  <si>
    <t>ბეტონით მოსამზადებელი ფენის მოწყობა საძირკვლის ფილის ქვეშ</t>
  </si>
  <si>
    <t>ბეტონის ტუმბო</t>
  </si>
  <si>
    <t>C8/10 S3 D20 PLC</t>
  </si>
  <si>
    <t>მონოლითური რკ.ბეტონის კედლების მოწყობა B25 W8 ბეტონით</t>
  </si>
  <si>
    <t>ბეტონი В25 S4 D20 W8</t>
  </si>
  <si>
    <t>საყალიბე სისტემა - კედლები</t>
  </si>
  <si>
    <t xml:space="preserve">არმატურის კარკასის დამზადების მასალები </t>
  </si>
  <si>
    <t>ტ</t>
  </si>
  <si>
    <t>არმატურა А240С  Ø=8მმ</t>
  </si>
  <si>
    <t>არმატურა А500С Ø=10მმ</t>
  </si>
  <si>
    <t>არმატურა А500С Ø=12მმ</t>
  </si>
  <si>
    <t>არმატურა А500С Ø=14მმ</t>
  </si>
  <si>
    <t>არმატურა А500С Ø=16მმ</t>
  </si>
  <si>
    <t>არმატურა А500С Ø=22მმ</t>
  </si>
  <si>
    <t>საგზაო სამოსის მოწყობა სავალ ნაწილზე (გზა N4, ბაქრაძის ქ-სთან მიერთება)</t>
  </si>
  <si>
    <t>გზის სავალ ნაწილზე საფუძვლის ქვედა (ქვესაგები) ფენის მოწყობა ქვიშა-ხრეშოვანი ნარევით H=25სმ</t>
  </si>
  <si>
    <t>კვ.მ</t>
  </si>
  <si>
    <t>ბულდოზერი</t>
  </si>
  <si>
    <t>მანქ.დღე</t>
  </si>
  <si>
    <t>სატკეპნი</t>
  </si>
  <si>
    <t>ქვიშა-ხრეშოვანი ნარევი</t>
  </si>
  <si>
    <t>გაგანიერების ნაწილზე საფუძვლის ქვედა (ქვესაგები) ფენის მოწყობა ქვიშა-ხრეშოვანი ნარევით H=16სმ</t>
  </si>
  <si>
    <t>გზის სავალ ნაწილზე საფუძვლის ზედა ფენის მოწყობა 0-40მმ ფრაქციული ღორღით H=20სმ</t>
  </si>
  <si>
    <t>0-40მმ ფრაქციული ღორღი</t>
  </si>
  <si>
    <t>გაგანიერების ნაწილზე საფუძვლის ზედა ფენის მოწყობა 0,40მმ ფრაქციული ღორღით H=13სმ</t>
  </si>
  <si>
    <t>გზის სავალ ნაწილზე საფარის ზედა  II ფენის მოწყობა წვრილმარცვლოვანი ასფალტობეტონის ცხელი ნარევით</t>
  </si>
  <si>
    <t>ასფალტობეტონის დამგები</t>
  </si>
  <si>
    <t>ასფალტობეტონი მსხვილმარცვლოვანი</t>
  </si>
  <si>
    <t>საფუძვლის ზედა ფენაზე ბიტუმის ემულსიის მოსხმა 0,7კგ/კვ.მ</t>
  </si>
  <si>
    <t>ავტოგუდრონატორი</t>
  </si>
  <si>
    <t>ბიტუმის ემულსია</t>
  </si>
  <si>
    <t>გზის სავალ ნაწილზე საფარის ქვედა I ფენის მოწყობა მსხვილმარცვლოვანი ასფალტობეტონის ცხელი ნარევით</t>
  </si>
  <si>
    <t>საფარის ქვედა ფენაზე ბიტუმის ემულსიის მოსხმა 0,3კგ/კვ.მ</t>
  </si>
  <si>
    <t>საფეხმავლო ბილიკი</t>
  </si>
  <si>
    <t>ბეტონის ბორდიურების მოწყობა ზომით 30X15სმ სავალი ნაწილის გასწვრივ</t>
  </si>
  <si>
    <t>გრძ.მ</t>
  </si>
  <si>
    <t>ბეტონი B25</t>
  </si>
  <si>
    <t>ბეტონის ბორდიური 30X15სმ</t>
  </si>
  <si>
    <t>ბეტონის ბორდიურების მოწყობა ზომით 20X10სმ</t>
  </si>
  <si>
    <t>ბეტონის ბორდიური 20X10სმ</t>
  </si>
  <si>
    <t>ტროტუარებისთვის საფუძვლის ქვედა ფენის მოწყობა 0-10მმ ფრაქციული ღორღით H=15სმ</t>
  </si>
  <si>
    <t>0-10მმ ფრაქციული ღორღი</t>
  </si>
  <si>
    <t>ტროტუარებზე საფუძვლის ფენის მოწყობა ქვიშაცემენტის 10%-იანი ნარევით H=10სმ</t>
  </si>
  <si>
    <t xml:space="preserve">ქვიშა </t>
  </si>
  <si>
    <t>ცემენტი</t>
  </si>
  <si>
    <t>ტროტუარებზე საფარის მოწყობა ბუნებრივი ქვის ფილებით</t>
  </si>
  <si>
    <t>ტროტუარის ბუნებრივი ქვის ფილები</t>
  </si>
  <si>
    <t>ჯ ა მ ი:</t>
  </si>
  <si>
    <t>ლარი</t>
  </si>
  <si>
    <t>სატრანსპორტო ხარჯი მასალებზე</t>
  </si>
  <si>
    <t>ზედნადები ხარჯები</t>
  </si>
  <si>
    <t>სახარჯთაღრიცხვო მოგება</t>
  </si>
  <si>
    <t>დროებითი შენობა-ნაგებობები და დანახარჯები უსაფრთხოებაზე ახალი რეგულაციების მიხედვით</t>
  </si>
  <si>
    <t>დღგ</t>
  </si>
  <si>
    <t>სულ ხარჯთაღრიცხვით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</si>
</sst>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р_._-;\-* #,##0.00_р_._-;_-* &quot;-&quot;??_р_._-;_-@_-"/>
    <numFmt numFmtId="166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0"/>
      <name val="Calibri Light"/>
      <family val="1"/>
      <charset val="204"/>
      <scheme val="major"/>
    </font>
    <font>
      <sz val="10"/>
      <name val="Calibri Light"/>
      <family val="1"/>
      <scheme val="major"/>
    </font>
    <font>
      <sz val="10"/>
      <name val="Calibri Light"/>
      <family val="1"/>
      <charset val="204"/>
      <scheme val="major"/>
    </font>
    <font>
      <sz val="8"/>
      <name val="Calibri Light"/>
      <family val="1"/>
      <scheme val="major"/>
    </font>
    <font>
      <sz val="11"/>
      <name val="Calibri Light"/>
      <family val="1"/>
      <scheme val="major"/>
    </font>
    <font>
      <b/>
      <sz val="11"/>
      <name val="Calibri Light"/>
      <family val="1"/>
      <scheme val="major"/>
    </font>
    <font>
      <b/>
      <sz val="11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 wrapText="1"/>
    </xf>
    <xf numFmtId="165" fontId="7" fillId="0" borderId="16" xfId="1" applyFont="1" applyFill="1" applyBorder="1" applyAlignment="1">
      <alignment horizontal="center" vertical="center" wrapText="1"/>
    </xf>
    <xf numFmtId="0" fontId="7" fillId="0" borderId="17" xfId="4" applyFont="1" applyBorder="1" applyAlignment="1">
      <alignment horizontal="center" vertical="center"/>
    </xf>
    <xf numFmtId="0" fontId="7" fillId="0" borderId="18" xfId="4" applyFont="1" applyBorder="1" applyAlignment="1">
      <alignment horizontal="center" vertical="center"/>
    </xf>
    <xf numFmtId="0" fontId="7" fillId="0" borderId="18" xfId="4" applyFont="1" applyBorder="1" applyAlignment="1">
      <alignment horizontal="center" vertical="center" wrapText="1"/>
    </xf>
    <xf numFmtId="0" fontId="7" fillId="0" borderId="19" xfId="4" applyFont="1" applyBorder="1" applyAlignment="1">
      <alignment horizontal="center" vertical="center" wrapText="1"/>
    </xf>
    <xf numFmtId="0" fontId="7" fillId="0" borderId="17" xfId="4" applyFont="1" applyBorder="1" applyAlignment="1">
      <alignment horizontal="center" vertical="center" wrapText="1"/>
    </xf>
    <xf numFmtId="0" fontId="7" fillId="0" borderId="20" xfId="1" applyNumberFormat="1" applyFont="1" applyFill="1" applyBorder="1" applyAlignment="1">
      <alignment horizontal="center" vertical="center"/>
    </xf>
    <xf numFmtId="0" fontId="7" fillId="0" borderId="21" xfId="4" applyFont="1" applyBorder="1" applyAlignment="1">
      <alignment horizontal="center" vertical="center" wrapText="1"/>
    </xf>
    <xf numFmtId="0" fontId="7" fillId="0" borderId="20" xfId="4" applyFont="1" applyBorder="1" applyAlignment="1">
      <alignment horizontal="center" vertical="center" wrapText="1"/>
    </xf>
    <xf numFmtId="0" fontId="7" fillId="0" borderId="22" xfId="4" applyFont="1" applyBorder="1" applyAlignment="1">
      <alignment horizontal="center" vertical="center" wrapText="1"/>
    </xf>
    <xf numFmtId="0" fontId="7" fillId="0" borderId="23" xfId="4" applyFont="1" applyBorder="1" applyAlignment="1">
      <alignment horizontal="center" vertical="center"/>
    </xf>
    <xf numFmtId="0" fontId="7" fillId="0" borderId="24" xfId="4" applyFont="1" applyBorder="1" applyAlignment="1">
      <alignment horizontal="center" vertical="center" wrapText="1"/>
    </xf>
    <xf numFmtId="0" fontId="7" fillId="0" borderId="25" xfId="4" applyFont="1" applyBorder="1" applyAlignment="1">
      <alignment horizontal="center" vertical="center" wrapText="1"/>
    </xf>
    <xf numFmtId="0" fontId="7" fillId="0" borderId="23" xfId="4" applyFont="1" applyBorder="1" applyAlignment="1">
      <alignment horizontal="center" vertical="center" wrapText="1"/>
    </xf>
    <xf numFmtId="0" fontId="7" fillId="0" borderId="26" xfId="1" applyNumberFormat="1" applyFont="1" applyFill="1" applyBorder="1" applyAlignment="1">
      <alignment horizontal="center" vertical="center"/>
    </xf>
    <xf numFmtId="0" fontId="7" fillId="0" borderId="27" xfId="4" applyFont="1" applyBorder="1" applyAlignment="1">
      <alignment horizontal="center" vertical="center" wrapText="1"/>
    </xf>
    <xf numFmtId="0" fontId="7" fillId="0" borderId="26" xfId="4" applyFont="1" applyBorder="1" applyAlignment="1">
      <alignment horizontal="center" vertical="center" wrapText="1"/>
    </xf>
    <xf numFmtId="0" fontId="7" fillId="0" borderId="28" xfId="4" applyFont="1" applyBorder="1" applyAlignment="1">
      <alignment horizontal="center" vertical="center" wrapText="1"/>
    </xf>
    <xf numFmtId="0" fontId="4" fillId="2" borderId="0" xfId="0" applyFont="1" applyFill="1"/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165" fontId="10" fillId="0" borderId="32" xfId="1" applyFont="1" applyFill="1" applyBorder="1" applyAlignment="1">
      <alignment vertical="center"/>
    </xf>
    <xf numFmtId="165" fontId="10" fillId="0" borderId="31" xfId="1" applyFont="1" applyFill="1" applyBorder="1" applyAlignment="1">
      <alignment vertical="center"/>
    </xf>
    <xf numFmtId="165" fontId="10" fillId="0" borderId="33" xfId="1" applyFont="1" applyFill="1" applyBorder="1" applyAlignment="1">
      <alignment vertical="center"/>
    </xf>
    <xf numFmtId="165" fontId="10" fillId="0" borderId="29" xfId="1" applyFont="1" applyFill="1" applyBorder="1" applyAlignment="1">
      <alignment vertical="center"/>
    </xf>
    <xf numFmtId="165" fontId="10" fillId="0" borderId="34" xfId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165" fontId="10" fillId="0" borderId="37" xfId="1" applyFont="1" applyFill="1" applyBorder="1" applyAlignment="1">
      <alignment horizontal="center" vertical="center"/>
    </xf>
    <xf numFmtId="165" fontId="10" fillId="0" borderId="16" xfId="1" applyFont="1" applyFill="1" applyBorder="1" applyAlignment="1">
      <alignment horizontal="center" vertical="center"/>
    </xf>
    <xf numFmtId="165" fontId="10" fillId="0" borderId="36" xfId="5" applyFont="1" applyFill="1" applyBorder="1" applyAlignment="1">
      <alignment horizontal="center" vertical="center"/>
    </xf>
    <xf numFmtId="165" fontId="10" fillId="0" borderId="38" xfId="5" applyFont="1" applyFill="1" applyBorder="1" applyAlignment="1">
      <alignment horizontal="center" vertical="center"/>
    </xf>
    <xf numFmtId="165" fontId="10" fillId="0" borderId="35" xfId="5" applyFont="1" applyFill="1" applyBorder="1" applyAlignment="1">
      <alignment horizontal="center" vertical="center"/>
    </xf>
    <xf numFmtId="165" fontId="10" fillId="0" borderId="39" xfId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165" fontId="10" fillId="0" borderId="43" xfId="1" applyFont="1" applyFill="1" applyBorder="1" applyAlignment="1">
      <alignment horizontal="center" vertical="center"/>
    </xf>
    <xf numFmtId="165" fontId="10" fillId="0" borderId="42" xfId="1" applyFont="1" applyFill="1" applyBorder="1" applyAlignment="1">
      <alignment horizontal="center" vertical="center"/>
    </xf>
    <xf numFmtId="165" fontId="10" fillId="0" borderId="41" xfId="5" applyFont="1" applyFill="1" applyBorder="1" applyAlignment="1">
      <alignment horizontal="center" vertical="center"/>
    </xf>
    <xf numFmtId="165" fontId="10" fillId="0" borderId="44" xfId="5" applyFont="1" applyFill="1" applyBorder="1" applyAlignment="1">
      <alignment horizontal="center" vertical="center"/>
    </xf>
    <xf numFmtId="165" fontId="10" fillId="0" borderId="40" xfId="5" applyFont="1" applyFill="1" applyBorder="1" applyAlignment="1">
      <alignment horizontal="center" vertical="center"/>
    </xf>
    <xf numFmtId="165" fontId="10" fillId="0" borderId="45" xfId="1" applyFont="1" applyFill="1" applyBorder="1" applyAlignment="1">
      <alignment horizontal="center" vertical="center"/>
    </xf>
    <xf numFmtId="43" fontId="4" fillId="0" borderId="0" xfId="0" applyNumberFormat="1" applyFont="1"/>
    <xf numFmtId="165" fontId="8" fillId="0" borderId="46" xfId="1" applyFont="1" applyFill="1" applyBorder="1" applyAlignment="1">
      <alignment horizontal="center" vertical="center"/>
    </xf>
    <xf numFmtId="165" fontId="8" fillId="0" borderId="31" xfId="1" applyFont="1" applyFill="1" applyBorder="1" applyAlignment="1">
      <alignment horizontal="center" vertical="center"/>
    </xf>
    <xf numFmtId="165" fontId="8" fillId="0" borderId="33" xfId="1" applyFont="1" applyFill="1" applyBorder="1" applyAlignment="1">
      <alignment horizontal="center" vertical="center"/>
    </xf>
    <xf numFmtId="165" fontId="8" fillId="0" borderId="29" xfId="1" applyFont="1" applyFill="1" applyBorder="1" applyAlignment="1">
      <alignment horizontal="center" vertical="center"/>
    </xf>
    <xf numFmtId="4" fontId="8" fillId="0" borderId="47" xfId="1" applyNumberFormat="1" applyFont="1" applyFill="1" applyBorder="1" applyAlignment="1">
      <alignment horizontal="center" vertical="center"/>
    </xf>
    <xf numFmtId="165" fontId="10" fillId="0" borderId="36" xfId="1" applyFont="1" applyFill="1" applyBorder="1" applyAlignment="1">
      <alignment horizontal="center" vertical="center"/>
    </xf>
    <xf numFmtId="165" fontId="10" fillId="0" borderId="38" xfId="1" applyFont="1" applyFill="1" applyBorder="1" applyAlignment="1">
      <alignment horizontal="center" vertical="center"/>
    </xf>
    <xf numFmtId="165" fontId="10" fillId="0" borderId="35" xfId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5" fontId="8" fillId="0" borderId="47" xfId="1" applyFont="1" applyFill="1" applyBorder="1" applyAlignment="1">
      <alignment horizontal="center" vertical="center"/>
    </xf>
    <xf numFmtId="165" fontId="11" fillId="0" borderId="35" xfId="1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165" fontId="10" fillId="0" borderId="37" xfId="5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2" fontId="10" fillId="0" borderId="50" xfId="0" applyNumberFormat="1" applyFont="1" applyBorder="1" applyAlignment="1">
      <alignment horizontal="center" vertical="center"/>
    </xf>
    <xf numFmtId="165" fontId="10" fillId="0" borderId="51" xfId="1" applyFont="1" applyFill="1" applyBorder="1" applyAlignment="1">
      <alignment horizontal="center" vertical="center"/>
    </xf>
    <xf numFmtId="165" fontId="10" fillId="0" borderId="50" xfId="1" applyFont="1" applyFill="1" applyBorder="1" applyAlignment="1">
      <alignment horizontal="center" vertical="center"/>
    </xf>
    <xf numFmtId="165" fontId="10" fillId="0" borderId="51" xfId="5" applyFont="1" applyFill="1" applyBorder="1" applyAlignment="1">
      <alignment horizontal="center" vertical="center"/>
    </xf>
    <xf numFmtId="165" fontId="10" fillId="0" borderId="52" xfId="5" applyFont="1" applyFill="1" applyBorder="1" applyAlignment="1">
      <alignment horizontal="center" vertical="center"/>
    </xf>
    <xf numFmtId="165" fontId="10" fillId="0" borderId="48" xfId="5" applyFont="1" applyFill="1" applyBorder="1" applyAlignment="1">
      <alignment horizontal="center" vertical="center"/>
    </xf>
    <xf numFmtId="165" fontId="10" fillId="0" borderId="53" xfId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165" fontId="10" fillId="0" borderId="54" xfId="1" applyFont="1" applyFill="1" applyBorder="1" applyAlignment="1">
      <alignment horizontal="center" vertical="center"/>
    </xf>
    <xf numFmtId="165" fontId="10" fillId="0" borderId="26" xfId="1" applyFont="1" applyFill="1" applyBorder="1" applyAlignment="1">
      <alignment horizontal="center" vertical="center"/>
    </xf>
    <xf numFmtId="165" fontId="10" fillId="0" borderId="55" xfId="1" applyFont="1" applyFill="1" applyBorder="1" applyAlignment="1">
      <alignment horizontal="center" vertical="center"/>
    </xf>
    <xf numFmtId="165" fontId="10" fillId="0" borderId="25" xfId="1" applyFont="1" applyFill="1" applyBorder="1" applyAlignment="1">
      <alignment horizontal="center" vertical="center"/>
    </xf>
    <xf numFmtId="165" fontId="10" fillId="0" borderId="56" xfId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" fontId="10" fillId="0" borderId="33" xfId="1" applyNumberFormat="1" applyFont="1" applyFill="1" applyBorder="1" applyAlignment="1">
      <alignment horizontal="center" vertical="center"/>
    </xf>
    <xf numFmtId="165" fontId="10" fillId="0" borderId="29" xfId="1" applyFont="1" applyFill="1" applyBorder="1" applyAlignment="1">
      <alignment horizontal="center" vertical="center"/>
    </xf>
    <xf numFmtId="165" fontId="10" fillId="0" borderId="46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4" fontId="10" fillId="0" borderId="58" xfId="1" applyNumberFormat="1" applyFont="1" applyFill="1" applyBorder="1" applyAlignment="1">
      <alignment horizontal="center" vertical="center"/>
    </xf>
    <xf numFmtId="165" fontId="10" fillId="0" borderId="57" xfId="1" applyFont="1" applyFill="1" applyBorder="1" applyAlignment="1">
      <alignment horizontal="center" vertical="center"/>
    </xf>
    <xf numFmtId="165" fontId="10" fillId="0" borderId="14" xfId="1" applyFont="1" applyFill="1" applyBorder="1" applyAlignment="1">
      <alignment horizontal="center" vertical="center"/>
    </xf>
    <xf numFmtId="165" fontId="10" fillId="0" borderId="59" xfId="1" applyFont="1" applyFill="1" applyBorder="1" applyAlignment="1">
      <alignment horizontal="center" vertical="center"/>
    </xf>
    <xf numFmtId="165" fontId="10" fillId="0" borderId="58" xfId="1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0" fontId="8" fillId="0" borderId="61" xfId="0" applyNumberFormat="1" applyFont="1" applyBorder="1" applyAlignment="1">
      <alignment horizontal="center" vertical="center"/>
    </xf>
    <xf numFmtId="4" fontId="8" fillId="0" borderId="62" xfId="1" applyNumberFormat="1" applyFont="1" applyFill="1" applyBorder="1" applyAlignment="1">
      <alignment horizontal="center" vertical="center"/>
    </xf>
    <xf numFmtId="165" fontId="8" fillId="0" borderId="60" xfId="1" applyFont="1" applyFill="1" applyBorder="1" applyAlignment="1">
      <alignment horizontal="center" vertical="center"/>
    </xf>
    <xf numFmtId="165" fontId="8" fillId="0" borderId="63" xfId="1" applyFont="1" applyFill="1" applyBorder="1" applyAlignment="1">
      <alignment horizontal="center" vertical="center"/>
    </xf>
    <xf numFmtId="165" fontId="8" fillId="0" borderId="64" xfId="1" applyFont="1" applyFill="1" applyBorder="1" applyAlignment="1">
      <alignment horizontal="center" vertical="center"/>
    </xf>
    <xf numFmtId="165" fontId="8" fillId="0" borderId="62" xfId="1" applyFont="1" applyFill="1" applyBorder="1" applyAlignment="1">
      <alignment horizontal="center" vertical="center"/>
    </xf>
    <xf numFmtId="165" fontId="8" fillId="0" borderId="65" xfId="1" applyFont="1" applyFill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166" fontId="10" fillId="0" borderId="30" xfId="3" applyNumberFormat="1" applyFont="1" applyFill="1" applyBorder="1" applyAlignment="1">
      <alignment horizontal="center" vertical="center"/>
    </xf>
    <xf numFmtId="9" fontId="13" fillId="0" borderId="33" xfId="3" applyFont="1" applyFill="1" applyBorder="1" applyAlignment="1">
      <alignment horizontal="center" vertical="center"/>
    </xf>
    <xf numFmtId="4" fontId="10" fillId="0" borderId="29" xfId="1" applyNumberFormat="1" applyFont="1" applyFill="1" applyBorder="1" applyAlignment="1">
      <alignment horizontal="center" vertical="center"/>
    </xf>
    <xf numFmtId="165" fontId="10" fillId="0" borderId="31" xfId="1" applyFont="1" applyFill="1" applyBorder="1" applyAlignment="1">
      <alignment horizontal="center" vertical="center"/>
    </xf>
    <xf numFmtId="165" fontId="10" fillId="0" borderId="47" xfId="1" applyFont="1" applyFill="1" applyBorder="1" applyAlignment="1">
      <alignment horizontal="center" vertical="center"/>
    </xf>
    <xf numFmtId="0" fontId="13" fillId="0" borderId="0" xfId="0" applyFont="1"/>
    <xf numFmtId="0" fontId="8" fillId="0" borderId="35" xfId="0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166" fontId="8" fillId="0" borderId="36" xfId="3" applyNumberFormat="1" applyFont="1" applyFill="1" applyBorder="1" applyAlignment="1">
      <alignment horizontal="center" vertical="center"/>
    </xf>
    <xf numFmtId="9" fontId="14" fillId="0" borderId="38" xfId="3" applyFont="1" applyFill="1" applyBorder="1" applyAlignment="1">
      <alignment horizontal="center" vertical="center"/>
    </xf>
    <xf numFmtId="4" fontId="8" fillId="0" borderId="35" xfId="1" applyNumberFormat="1" applyFont="1" applyFill="1" applyBorder="1" applyAlignment="1">
      <alignment horizontal="center" vertical="center"/>
    </xf>
    <xf numFmtId="165" fontId="8" fillId="0" borderId="16" xfId="1" applyFont="1" applyFill="1" applyBorder="1" applyAlignment="1">
      <alignment horizontal="center" vertical="center"/>
    </xf>
    <xf numFmtId="165" fontId="8" fillId="0" borderId="35" xfId="1" applyFont="1" applyFill="1" applyBorder="1" applyAlignment="1">
      <alignment horizontal="center" vertical="center"/>
    </xf>
    <xf numFmtId="165" fontId="8" fillId="0" borderId="39" xfId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66" fontId="10" fillId="0" borderId="36" xfId="3" applyNumberFormat="1" applyFont="1" applyFill="1" applyBorder="1" applyAlignment="1">
      <alignment horizontal="center" vertical="center"/>
    </xf>
    <xf numFmtId="9" fontId="13" fillId="0" borderId="38" xfId="3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166" fontId="6" fillId="0" borderId="36" xfId="3" applyNumberFormat="1" applyFont="1" applyFill="1" applyBorder="1" applyAlignment="1">
      <alignment horizontal="center" vertical="center"/>
    </xf>
    <xf numFmtId="166" fontId="4" fillId="0" borderId="38" xfId="3" applyNumberFormat="1" applyFont="1" applyFill="1" applyBorder="1" applyAlignment="1">
      <alignment horizontal="center" vertical="center"/>
    </xf>
    <xf numFmtId="4" fontId="6" fillId="0" borderId="35" xfId="1" applyNumberFormat="1" applyFont="1" applyFill="1" applyBorder="1" applyAlignment="1">
      <alignment horizontal="center" vertical="center"/>
    </xf>
    <xf numFmtId="165" fontId="6" fillId="0" borderId="16" xfId="1" applyFont="1" applyFill="1" applyBorder="1" applyAlignment="1">
      <alignment horizontal="center" vertical="center"/>
    </xf>
    <xf numFmtId="165" fontId="6" fillId="0" borderId="35" xfId="1" applyFont="1" applyFill="1" applyBorder="1" applyAlignment="1">
      <alignment horizontal="center" vertical="center"/>
    </xf>
    <xf numFmtId="165" fontId="6" fillId="0" borderId="39" xfId="1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166" fontId="7" fillId="0" borderId="36" xfId="3" applyNumberFormat="1" applyFont="1" applyFill="1" applyBorder="1" applyAlignment="1">
      <alignment horizontal="center" vertical="center"/>
    </xf>
    <xf numFmtId="165" fontId="15" fillId="0" borderId="38" xfId="1" applyFont="1" applyFill="1" applyBorder="1" applyAlignment="1">
      <alignment horizontal="center" vertical="center"/>
    </xf>
    <xf numFmtId="4" fontId="7" fillId="0" borderId="35" xfId="1" applyNumberFormat="1" applyFont="1" applyFill="1" applyBorder="1" applyAlignment="1">
      <alignment horizontal="center" vertical="center"/>
    </xf>
    <xf numFmtId="165" fontId="7" fillId="0" borderId="16" xfId="1" applyFont="1" applyFill="1" applyBorder="1" applyAlignment="1">
      <alignment horizontal="center" vertical="center"/>
    </xf>
    <xf numFmtId="165" fontId="7" fillId="0" borderId="35" xfId="1" applyFont="1" applyFill="1" applyBorder="1" applyAlignment="1">
      <alignment horizontal="center" vertical="center"/>
    </xf>
    <xf numFmtId="165" fontId="7" fillId="0" borderId="39" xfId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15" fillId="0" borderId="49" xfId="0" applyFont="1" applyBorder="1" applyAlignment="1">
      <alignment horizontal="center" vertical="center"/>
    </xf>
    <xf numFmtId="9" fontId="7" fillId="0" borderId="49" xfId="3" applyFont="1" applyFill="1" applyBorder="1" applyAlignment="1">
      <alignment horizontal="center" vertical="center"/>
    </xf>
    <xf numFmtId="9" fontId="15" fillId="0" borderId="52" xfId="3" applyFont="1" applyFill="1" applyBorder="1" applyAlignment="1">
      <alignment horizontal="center" vertical="center"/>
    </xf>
    <xf numFmtId="4" fontId="7" fillId="0" borderId="48" xfId="1" applyNumberFormat="1" applyFont="1" applyFill="1" applyBorder="1" applyAlignment="1">
      <alignment horizontal="center" vertical="center"/>
    </xf>
    <xf numFmtId="165" fontId="7" fillId="0" borderId="50" xfId="1" applyFont="1" applyFill="1" applyBorder="1" applyAlignment="1">
      <alignment horizontal="center" vertical="center"/>
    </xf>
    <xf numFmtId="165" fontId="7" fillId="0" borderId="48" xfId="1" applyFont="1" applyFill="1" applyBorder="1" applyAlignment="1">
      <alignment horizontal="center" vertical="center"/>
    </xf>
    <xf numFmtId="165" fontId="7" fillId="0" borderId="53" xfId="1" applyFont="1" applyFill="1" applyBorder="1" applyAlignment="1">
      <alignment horizontal="center" vertical="center"/>
    </xf>
    <xf numFmtId="44" fontId="4" fillId="0" borderId="0" xfId="2" applyFont="1" applyFill="1" applyAlignment="1">
      <alignment horizontal="center" vertical="center"/>
    </xf>
    <xf numFmtId="165" fontId="4" fillId="0" borderId="0" xfId="0" applyNumberFormat="1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/>
    <xf numFmtId="0" fontId="7" fillId="0" borderId="10" xfId="4" applyFont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</cellXfs>
  <cellStyles count="6">
    <cellStyle name="Comma" xfId="1" builtinId="3"/>
    <cellStyle name="Comma 22" xfId="5" xr:uid="{C2F7218F-6AB0-47AB-A9FF-93F783E1B7B1}"/>
    <cellStyle name="Currency" xfId="2" builtinId="4"/>
    <cellStyle name="Normal" xfId="0" builtinId="0"/>
    <cellStyle name="Percent" xfId="3" builtinId="5"/>
    <cellStyle name="Обычный 2" xfId="4" xr:uid="{1B6BDFD5-1C2A-4BC7-B0B4-5F565DE183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0AA8F-BB68-491B-8778-124BF96F87CC}">
  <sheetPr>
    <tabColor rgb="FFFFFF00"/>
  </sheetPr>
  <dimension ref="A1:S1142"/>
  <sheetViews>
    <sheetView showGridLines="0" tabSelected="1" zoomScale="90" zoomScaleNormal="90" workbookViewId="0">
      <selection activeCell="E118" sqref="E118"/>
    </sheetView>
  </sheetViews>
  <sheetFormatPr defaultColWidth="9.140625" defaultRowHeight="15" x14ac:dyDescent="0.25"/>
  <cols>
    <col min="1" max="1" width="3.85546875" style="1" bestFit="1" customWidth="1"/>
    <col min="2" max="2" width="45.7109375" style="1" customWidth="1"/>
    <col min="3" max="3" width="10.42578125" style="1" bestFit="1" customWidth="1"/>
    <col min="4" max="4" width="12.42578125" style="1" bestFit="1" customWidth="1"/>
    <col min="5" max="5" width="12.85546875" style="158" bestFit="1" customWidth="1"/>
    <col min="6" max="6" width="15.42578125" style="158" bestFit="1" customWidth="1"/>
    <col min="7" max="7" width="13.7109375" style="158" bestFit="1" customWidth="1"/>
    <col min="8" max="8" width="15.5703125" style="158" bestFit="1" customWidth="1"/>
    <col min="9" max="9" width="12.42578125" style="158" bestFit="1" customWidth="1"/>
    <col min="10" max="10" width="15.42578125" style="158" bestFit="1" customWidth="1"/>
    <col min="11" max="11" width="16.5703125" style="158" bestFit="1" customWidth="1"/>
    <col min="12" max="12" width="9.140625" style="1"/>
    <col min="13" max="13" width="11.5703125" style="1" bestFit="1" customWidth="1"/>
    <col min="14" max="16384" width="9.140625" style="1"/>
  </cols>
  <sheetData>
    <row r="1" spans="1:13" ht="15.75" x14ac:dyDescent="0.25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3" ht="15.75" x14ac:dyDescent="0.25">
      <c r="A2" s="165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7"/>
    </row>
    <row r="3" spans="1:13" ht="15.75" x14ac:dyDescent="0.25">
      <c r="A3" s="168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</row>
    <row r="4" spans="1:13" ht="15.75" thickBot="1" x14ac:dyDescent="0.3">
      <c r="A4" s="2"/>
      <c r="B4" s="3"/>
      <c r="C4" s="3"/>
      <c r="D4" s="3"/>
      <c r="E4" s="4"/>
      <c r="F4" s="4"/>
      <c r="G4" s="4"/>
      <c r="H4" s="4"/>
      <c r="I4" s="5"/>
      <c r="J4" s="4"/>
      <c r="K4" s="6"/>
    </row>
    <row r="5" spans="1:13" ht="38.25" customHeight="1" x14ac:dyDescent="0.25">
      <c r="A5" s="171" t="s">
        <v>2</v>
      </c>
      <c r="B5" s="173" t="s">
        <v>3</v>
      </c>
      <c r="C5" s="175" t="s">
        <v>4</v>
      </c>
      <c r="D5" s="160" t="s">
        <v>5</v>
      </c>
      <c r="E5" s="177" t="s">
        <v>6</v>
      </c>
      <c r="F5" s="178"/>
      <c r="G5" s="177" t="s">
        <v>7</v>
      </c>
      <c r="H5" s="178"/>
      <c r="I5" s="177" t="s">
        <v>8</v>
      </c>
      <c r="J5" s="178"/>
      <c r="K5" s="160" t="s">
        <v>9</v>
      </c>
    </row>
    <row r="6" spans="1:13" x14ac:dyDescent="0.25">
      <c r="A6" s="172"/>
      <c r="B6" s="174"/>
      <c r="C6" s="176"/>
      <c r="D6" s="161"/>
      <c r="E6" s="7" t="s">
        <v>10</v>
      </c>
      <c r="F6" s="8" t="s">
        <v>11</v>
      </c>
      <c r="G6" s="7" t="s">
        <v>10</v>
      </c>
      <c r="H6" s="8" t="s">
        <v>11</v>
      </c>
      <c r="I6" s="7" t="s">
        <v>10</v>
      </c>
      <c r="J6" s="8" t="s">
        <v>11</v>
      </c>
      <c r="K6" s="161"/>
    </row>
    <row r="7" spans="1:13" ht="15.75" thickBot="1" x14ac:dyDescent="0.3">
      <c r="A7" s="9">
        <v>1</v>
      </c>
      <c r="B7" s="10">
        <v>2</v>
      </c>
      <c r="C7" s="11">
        <v>3</v>
      </c>
      <c r="D7" s="12">
        <v>4</v>
      </c>
      <c r="E7" s="13">
        <v>5</v>
      </c>
      <c r="F7" s="14">
        <v>6</v>
      </c>
      <c r="G7" s="15">
        <v>7</v>
      </c>
      <c r="H7" s="12">
        <v>8</v>
      </c>
      <c r="I7" s="13">
        <v>9</v>
      </c>
      <c r="J7" s="16">
        <v>10</v>
      </c>
      <c r="K7" s="17">
        <v>11</v>
      </c>
    </row>
    <row r="8" spans="1:13" s="26" customFormat="1" ht="16.5" thickTop="1" thickBot="1" x14ac:dyDescent="0.3">
      <c r="A8" s="18"/>
      <c r="B8" s="19" t="s">
        <v>12</v>
      </c>
      <c r="C8" s="19"/>
      <c r="D8" s="20"/>
      <c r="E8" s="21"/>
      <c r="F8" s="22"/>
      <c r="G8" s="23"/>
      <c r="H8" s="20"/>
      <c r="I8" s="21"/>
      <c r="J8" s="24"/>
      <c r="K8" s="25"/>
    </row>
    <row r="9" spans="1:13" ht="30.75" customHeight="1" x14ac:dyDescent="0.25">
      <c r="A9" s="27" t="e">
        <f>MAX(#REF!)+1</f>
        <v>#REF!</v>
      </c>
      <c r="B9" s="28" t="s">
        <v>13</v>
      </c>
      <c r="C9" s="29" t="s">
        <v>14</v>
      </c>
      <c r="D9" s="30">
        <v>3100</v>
      </c>
      <c r="E9" s="31"/>
      <c r="F9" s="32"/>
      <c r="G9" s="31"/>
      <c r="H9" s="33"/>
      <c r="I9" s="34"/>
      <c r="J9" s="32"/>
      <c r="K9" s="35"/>
    </row>
    <row r="10" spans="1:13" ht="18" customHeight="1" x14ac:dyDescent="0.25">
      <c r="A10" s="36"/>
      <c r="B10" s="37" t="s">
        <v>15</v>
      </c>
      <c r="C10" s="38" t="s">
        <v>14</v>
      </c>
      <c r="D10" s="39">
        <f>D9</f>
        <v>3100</v>
      </c>
      <c r="E10" s="40"/>
      <c r="F10" s="41"/>
      <c r="G10" s="42"/>
      <c r="H10" s="43"/>
      <c r="I10" s="44"/>
      <c r="J10" s="41"/>
      <c r="K10" s="45"/>
    </row>
    <row r="11" spans="1:13" ht="18" customHeight="1" thickBot="1" x14ac:dyDescent="0.3">
      <c r="A11" s="46"/>
      <c r="B11" s="47" t="s">
        <v>16</v>
      </c>
      <c r="C11" s="48" t="s">
        <v>17</v>
      </c>
      <c r="D11" s="49">
        <f>ROUNDUP(D9/20,0)</f>
        <v>155</v>
      </c>
      <c r="E11" s="50"/>
      <c r="F11" s="51"/>
      <c r="G11" s="52"/>
      <c r="H11" s="53"/>
      <c r="I11" s="54"/>
      <c r="J11" s="51"/>
      <c r="K11" s="55"/>
      <c r="M11" s="56"/>
    </row>
    <row r="12" spans="1:13" ht="51.75" customHeight="1" x14ac:dyDescent="0.25">
      <c r="A12" s="27" t="e">
        <f>MAX($A$9:A11)+1</f>
        <v>#REF!</v>
      </c>
      <c r="B12" s="28" t="s">
        <v>18</v>
      </c>
      <c r="C12" s="29" t="s">
        <v>14</v>
      </c>
      <c r="D12" s="30">
        <v>2516.46</v>
      </c>
      <c r="E12" s="57"/>
      <c r="F12" s="58"/>
      <c r="G12" s="57"/>
      <c r="H12" s="59"/>
      <c r="I12" s="60"/>
      <c r="J12" s="58"/>
      <c r="K12" s="61"/>
      <c r="M12" s="56"/>
    </row>
    <row r="13" spans="1:13" ht="18" customHeight="1" x14ac:dyDescent="0.25">
      <c r="A13" s="36"/>
      <c r="B13" s="37" t="s">
        <v>7</v>
      </c>
      <c r="C13" s="38" t="s">
        <v>19</v>
      </c>
      <c r="D13" s="39">
        <f>D12*0.15</f>
        <v>377.46899999999999</v>
      </c>
      <c r="E13" s="40"/>
      <c r="F13" s="41"/>
      <c r="G13" s="62"/>
      <c r="H13" s="63"/>
      <c r="I13" s="64"/>
      <c r="J13" s="41"/>
      <c r="K13" s="45"/>
    </row>
    <row r="14" spans="1:13" ht="18" customHeight="1" x14ac:dyDescent="0.25">
      <c r="A14" s="36"/>
      <c r="B14" s="37" t="s">
        <v>20</v>
      </c>
      <c r="C14" s="38" t="s">
        <v>14</v>
      </c>
      <c r="D14" s="39">
        <f>D12*1.22</f>
        <v>3070.0812000000001</v>
      </c>
      <c r="E14" s="40"/>
      <c r="F14" s="41"/>
      <c r="G14" s="40"/>
      <c r="H14" s="63"/>
      <c r="I14" s="64"/>
      <c r="J14" s="41"/>
      <c r="K14" s="45"/>
    </row>
    <row r="15" spans="1:13" ht="18" customHeight="1" x14ac:dyDescent="0.25">
      <c r="A15" s="36"/>
      <c r="B15" s="37" t="s">
        <v>21</v>
      </c>
      <c r="C15" s="38" t="s">
        <v>22</v>
      </c>
      <c r="D15" s="39">
        <f>0.0216*D12</f>
        <v>54.355536000000001</v>
      </c>
      <c r="E15" s="40"/>
      <c r="F15" s="41"/>
      <c r="G15" s="62"/>
      <c r="H15" s="63"/>
      <c r="I15" s="64"/>
      <c r="J15" s="41"/>
      <c r="K15" s="45"/>
    </row>
    <row r="16" spans="1:13" ht="18" customHeight="1" thickBot="1" x14ac:dyDescent="0.3">
      <c r="A16" s="36"/>
      <c r="B16" s="37" t="s">
        <v>23</v>
      </c>
      <c r="C16" s="38" t="s">
        <v>22</v>
      </c>
      <c r="D16" s="39">
        <f>0.0273*D12</f>
        <v>68.699358000000004</v>
      </c>
      <c r="E16" s="40"/>
      <c r="F16" s="41"/>
      <c r="G16" s="62"/>
      <c r="H16" s="63"/>
      <c r="I16" s="64"/>
      <c r="J16" s="41"/>
      <c r="K16" s="45"/>
    </row>
    <row r="17" spans="1:11" s="26" customFormat="1" ht="15.75" thickBot="1" x14ac:dyDescent="0.3">
      <c r="A17" s="18"/>
      <c r="B17" s="19" t="s">
        <v>24</v>
      </c>
      <c r="C17" s="19"/>
      <c r="D17" s="20"/>
      <c r="E17" s="21"/>
      <c r="F17" s="22"/>
      <c r="G17" s="23"/>
      <c r="H17" s="20"/>
      <c r="I17" s="21"/>
      <c r="J17" s="24"/>
      <c r="K17" s="25"/>
    </row>
    <row r="18" spans="1:11" ht="35.25" customHeight="1" x14ac:dyDescent="0.25">
      <c r="A18" s="27" t="e">
        <f>MAX($A$9:A17)+1</f>
        <v>#REF!</v>
      </c>
      <c r="B18" s="28" t="s">
        <v>25</v>
      </c>
      <c r="C18" s="65" t="s">
        <v>14</v>
      </c>
      <c r="D18" s="30">
        <v>57</v>
      </c>
      <c r="E18" s="57"/>
      <c r="F18" s="58"/>
      <c r="G18" s="57"/>
      <c r="H18" s="59"/>
      <c r="I18" s="60"/>
      <c r="J18" s="58"/>
      <c r="K18" s="61"/>
    </row>
    <row r="19" spans="1:11" ht="18" customHeight="1" x14ac:dyDescent="0.25">
      <c r="A19" s="36"/>
      <c r="B19" s="37" t="s">
        <v>7</v>
      </c>
      <c r="C19" s="38" t="s">
        <v>14</v>
      </c>
      <c r="D19" s="39">
        <f>D18</f>
        <v>57</v>
      </c>
      <c r="E19" s="40"/>
      <c r="F19" s="41"/>
      <c r="G19" s="62"/>
      <c r="H19" s="63"/>
      <c r="I19" s="64"/>
      <c r="J19" s="41"/>
      <c r="K19" s="45"/>
    </row>
    <row r="20" spans="1:11" ht="18" customHeight="1" x14ac:dyDescent="0.25">
      <c r="A20" s="36"/>
      <c r="B20" s="37" t="s">
        <v>26</v>
      </c>
      <c r="C20" s="38" t="s">
        <v>14</v>
      </c>
      <c r="D20" s="39">
        <f>D18*1.02</f>
        <v>58.14</v>
      </c>
      <c r="E20" s="40"/>
      <c r="F20" s="41"/>
      <c r="G20" s="40"/>
      <c r="H20" s="63"/>
      <c r="I20" s="64"/>
      <c r="J20" s="41"/>
      <c r="K20" s="45"/>
    </row>
    <row r="21" spans="1:11" ht="18" customHeight="1" thickBot="1" x14ac:dyDescent="0.3">
      <c r="A21" s="36"/>
      <c r="B21" s="37" t="s">
        <v>27</v>
      </c>
      <c r="C21" s="38" t="s">
        <v>14</v>
      </c>
      <c r="D21" s="39">
        <f>D18*1.02</f>
        <v>58.14</v>
      </c>
      <c r="E21" s="40"/>
      <c r="F21" s="41"/>
      <c r="G21" s="40"/>
      <c r="H21" s="63"/>
      <c r="I21" s="64"/>
      <c r="J21" s="41"/>
      <c r="K21" s="45"/>
    </row>
    <row r="22" spans="1:11" ht="34.5" customHeight="1" x14ac:dyDescent="0.25">
      <c r="A22" s="27" t="e">
        <f>MAX($A$9:A21)+1</f>
        <v>#REF!</v>
      </c>
      <c r="B22" s="28" t="s">
        <v>28</v>
      </c>
      <c r="C22" s="65" t="s">
        <v>14</v>
      </c>
      <c r="D22" s="30">
        <v>364</v>
      </c>
      <c r="E22" s="57"/>
      <c r="F22" s="58"/>
      <c r="G22" s="57"/>
      <c r="H22" s="59"/>
      <c r="I22" s="60"/>
      <c r="J22" s="58"/>
      <c r="K22" s="66"/>
    </row>
    <row r="23" spans="1:11" ht="18" customHeight="1" x14ac:dyDescent="0.25">
      <c r="A23" s="36"/>
      <c r="B23" s="37" t="s">
        <v>7</v>
      </c>
      <c r="C23" s="38" t="s">
        <v>14</v>
      </c>
      <c r="D23" s="39">
        <f>D22</f>
        <v>364</v>
      </c>
      <c r="E23" s="40"/>
      <c r="F23" s="41"/>
      <c r="G23" s="67"/>
      <c r="H23" s="63"/>
      <c r="I23" s="64"/>
      <c r="J23" s="41"/>
      <c r="K23" s="45"/>
    </row>
    <row r="24" spans="1:11" ht="18" customHeight="1" x14ac:dyDescent="0.25">
      <c r="A24" s="36"/>
      <c r="B24" s="37" t="s">
        <v>26</v>
      </c>
      <c r="C24" s="38" t="s">
        <v>14</v>
      </c>
      <c r="D24" s="39">
        <f>D22*1.015</f>
        <v>369.46</v>
      </c>
      <c r="E24" s="40"/>
      <c r="F24" s="41"/>
      <c r="G24" s="40"/>
      <c r="H24" s="63"/>
      <c r="I24" s="64"/>
      <c r="J24" s="41"/>
      <c r="K24" s="45"/>
    </row>
    <row r="25" spans="1:11" ht="18" customHeight="1" x14ac:dyDescent="0.25">
      <c r="A25" s="36"/>
      <c r="B25" s="37" t="s">
        <v>29</v>
      </c>
      <c r="C25" s="38" t="s">
        <v>14</v>
      </c>
      <c r="D25" s="39">
        <f>D22*1.015</f>
        <v>369.46</v>
      </c>
      <c r="E25" s="64"/>
      <c r="F25" s="41"/>
      <c r="G25" s="40"/>
      <c r="H25" s="63"/>
      <c r="I25" s="64"/>
      <c r="J25" s="41"/>
      <c r="K25" s="45"/>
    </row>
    <row r="26" spans="1:11" ht="18" customHeight="1" x14ac:dyDescent="0.25">
      <c r="A26" s="36"/>
      <c r="B26" s="37" t="s">
        <v>30</v>
      </c>
      <c r="C26" s="38" t="s">
        <v>14</v>
      </c>
      <c r="D26" s="39">
        <f>D22</f>
        <v>364</v>
      </c>
      <c r="E26" s="64"/>
      <c r="F26" s="41"/>
      <c r="G26" s="40"/>
      <c r="H26" s="63"/>
      <c r="I26" s="64"/>
      <c r="J26" s="41"/>
      <c r="K26" s="45"/>
    </row>
    <row r="27" spans="1:11" ht="18" customHeight="1" x14ac:dyDescent="0.25">
      <c r="A27" s="36"/>
      <c r="B27" s="68" t="s">
        <v>31</v>
      </c>
      <c r="C27" s="38" t="s">
        <v>32</v>
      </c>
      <c r="D27" s="39">
        <f>SUM(D28:D33)</f>
        <v>34.353211087477092</v>
      </c>
      <c r="E27" s="64"/>
      <c r="F27" s="41"/>
      <c r="G27" s="40"/>
      <c r="H27" s="63"/>
      <c r="I27" s="64"/>
      <c r="J27" s="41"/>
      <c r="K27" s="45"/>
    </row>
    <row r="28" spans="1:11" ht="18" customHeight="1" x14ac:dyDescent="0.25">
      <c r="A28" s="69"/>
      <c r="B28" s="47" t="s">
        <v>33</v>
      </c>
      <c r="C28" s="38" t="s">
        <v>32</v>
      </c>
      <c r="D28" s="70">
        <f>303.978041066667/1000*1.03</f>
        <v>0.31309738229866702</v>
      </c>
      <c r="E28" s="64"/>
      <c r="F28" s="41"/>
      <c r="G28" s="62"/>
      <c r="H28" s="63"/>
      <c r="I28" s="64"/>
      <c r="J28" s="41"/>
      <c r="K28" s="45"/>
    </row>
    <row r="29" spans="1:11" ht="18" customHeight="1" x14ac:dyDescent="0.25">
      <c r="A29" s="69"/>
      <c r="B29" s="47" t="s">
        <v>34</v>
      </c>
      <c r="C29" s="48" t="s">
        <v>32</v>
      </c>
      <c r="D29" s="70">
        <f>534.8293803125/1000*1.03</f>
        <v>0.55087426172187504</v>
      </c>
      <c r="E29" s="64"/>
      <c r="F29" s="41"/>
      <c r="G29" s="62"/>
      <c r="H29" s="63"/>
      <c r="I29" s="64"/>
      <c r="J29" s="41"/>
      <c r="K29" s="45"/>
    </row>
    <row r="30" spans="1:11" ht="18" customHeight="1" x14ac:dyDescent="0.25">
      <c r="A30" s="69"/>
      <c r="B30" s="47" t="s">
        <v>35</v>
      </c>
      <c r="C30" s="48" t="s">
        <v>32</v>
      </c>
      <c r="D30" s="70">
        <f>11668.9475205/1000*1.03</f>
        <v>12.019015946114999</v>
      </c>
      <c r="E30" s="64"/>
      <c r="F30" s="41"/>
      <c r="G30" s="62"/>
      <c r="H30" s="63"/>
      <c r="I30" s="64"/>
      <c r="J30" s="41"/>
      <c r="K30" s="45"/>
    </row>
    <row r="31" spans="1:11" ht="18" customHeight="1" x14ac:dyDescent="0.25">
      <c r="A31" s="69"/>
      <c r="B31" s="47" t="s">
        <v>36</v>
      </c>
      <c r="C31" s="48" t="s">
        <v>32</v>
      </c>
      <c r="D31" s="70">
        <f>(5714.257506125+286)/1000*1.03</f>
        <v>6.1802652313087503</v>
      </c>
      <c r="E31" s="64"/>
      <c r="F31" s="41"/>
      <c r="G31" s="62"/>
      <c r="H31" s="63"/>
      <c r="I31" s="64"/>
      <c r="J31" s="41"/>
      <c r="K31" s="45"/>
    </row>
    <row r="32" spans="1:11" ht="18" customHeight="1" x14ac:dyDescent="0.25">
      <c r="A32" s="69"/>
      <c r="B32" s="47" t="s">
        <v>37</v>
      </c>
      <c r="C32" s="48" t="s">
        <v>32</v>
      </c>
      <c r="D32" s="70">
        <f>11128.38854176/1000*1.03</f>
        <v>11.4622401980128</v>
      </c>
      <c r="E32" s="64"/>
      <c r="F32" s="41"/>
      <c r="G32" s="62"/>
      <c r="H32" s="63"/>
      <c r="I32" s="64"/>
      <c r="J32" s="41"/>
      <c r="K32" s="45"/>
    </row>
    <row r="33" spans="1:11" ht="18" customHeight="1" thickBot="1" x14ac:dyDescent="0.3">
      <c r="A33" s="69"/>
      <c r="B33" s="47" t="s">
        <v>38</v>
      </c>
      <c r="C33" s="48" t="s">
        <v>32</v>
      </c>
      <c r="D33" s="70">
        <f>3716.231134/1000*1.03</f>
        <v>3.8277180680200003</v>
      </c>
      <c r="E33" s="64"/>
      <c r="F33" s="41"/>
      <c r="G33" s="62"/>
      <c r="H33" s="63"/>
      <c r="I33" s="64"/>
      <c r="J33" s="41"/>
      <c r="K33" s="45"/>
    </row>
    <row r="34" spans="1:11" s="26" customFormat="1" ht="26.25" thickBot="1" x14ac:dyDescent="0.3">
      <c r="A34" s="18"/>
      <c r="B34" s="19" t="s">
        <v>39</v>
      </c>
      <c r="C34" s="19"/>
      <c r="D34" s="20"/>
      <c r="E34" s="21"/>
      <c r="F34" s="22"/>
      <c r="G34" s="23"/>
      <c r="H34" s="20"/>
      <c r="I34" s="21"/>
      <c r="J34" s="24"/>
      <c r="K34" s="25"/>
    </row>
    <row r="35" spans="1:11" ht="51.75" customHeight="1" x14ac:dyDescent="0.25">
      <c r="A35" s="27" t="e">
        <f>MAX($A$9:A34)+1</f>
        <v>#REF!</v>
      </c>
      <c r="B35" s="28" t="s">
        <v>40</v>
      </c>
      <c r="C35" s="65" t="s">
        <v>41</v>
      </c>
      <c r="D35" s="30">
        <v>1290.0999999999999</v>
      </c>
      <c r="E35" s="57"/>
      <c r="F35" s="58"/>
      <c r="G35" s="57"/>
      <c r="H35" s="59"/>
      <c r="I35" s="60"/>
      <c r="J35" s="58"/>
      <c r="K35" s="61"/>
    </row>
    <row r="36" spans="1:11" ht="18" customHeight="1" x14ac:dyDescent="0.25">
      <c r="A36" s="36"/>
      <c r="B36" s="37" t="s">
        <v>42</v>
      </c>
      <c r="C36" s="38" t="s">
        <v>43</v>
      </c>
      <c r="D36" s="39">
        <f>ROUNDUP(D35/1000,0)</f>
        <v>2</v>
      </c>
      <c r="E36" s="40"/>
      <c r="F36" s="41"/>
      <c r="G36" s="42"/>
      <c r="H36" s="43"/>
      <c r="I36" s="44"/>
      <c r="J36" s="41"/>
      <c r="K36" s="45"/>
    </row>
    <row r="37" spans="1:11" ht="18" customHeight="1" x14ac:dyDescent="0.25">
      <c r="A37" s="36"/>
      <c r="B37" s="37" t="s">
        <v>44</v>
      </c>
      <c r="C37" s="38" t="s">
        <v>43</v>
      </c>
      <c r="D37" s="39">
        <f>ROUNDUP(D35/1000,0)</f>
        <v>2</v>
      </c>
      <c r="E37" s="40"/>
      <c r="F37" s="41"/>
      <c r="G37" s="42"/>
      <c r="H37" s="43"/>
      <c r="I37" s="44"/>
      <c r="J37" s="41"/>
      <c r="K37" s="45"/>
    </row>
    <row r="38" spans="1:11" ht="18" customHeight="1" thickBot="1" x14ac:dyDescent="0.3">
      <c r="A38" s="36"/>
      <c r="B38" s="37" t="s">
        <v>45</v>
      </c>
      <c r="C38" s="38" t="s">
        <v>14</v>
      </c>
      <c r="D38" s="39">
        <f>D35*0.25*1.22</f>
        <v>393.48049999999995</v>
      </c>
      <c r="E38" s="40"/>
      <c r="F38" s="41"/>
      <c r="G38" s="71"/>
      <c r="H38" s="43"/>
      <c r="I38" s="44"/>
      <c r="J38" s="41"/>
      <c r="K38" s="45"/>
    </row>
    <row r="39" spans="1:11" ht="51.75" customHeight="1" x14ac:dyDescent="0.25">
      <c r="A39" s="27" t="e">
        <f>MAX($A$9:A38)+1</f>
        <v>#REF!</v>
      </c>
      <c r="B39" s="28" t="s">
        <v>46</v>
      </c>
      <c r="C39" s="65" t="s">
        <v>41</v>
      </c>
      <c r="D39" s="30">
        <v>565.1</v>
      </c>
      <c r="E39" s="57"/>
      <c r="F39" s="58"/>
      <c r="G39" s="57"/>
      <c r="H39" s="59"/>
      <c r="I39" s="60"/>
      <c r="J39" s="58"/>
      <c r="K39" s="61"/>
    </row>
    <row r="40" spans="1:11" ht="18" customHeight="1" x14ac:dyDescent="0.25">
      <c r="A40" s="36"/>
      <c r="B40" s="37" t="s">
        <v>44</v>
      </c>
      <c r="C40" s="38" t="s">
        <v>43</v>
      </c>
      <c r="D40" s="39">
        <f>ROUNDUP(D39/1000,0)</f>
        <v>1</v>
      </c>
      <c r="E40" s="40"/>
      <c r="F40" s="41"/>
      <c r="G40" s="42"/>
      <c r="H40" s="43"/>
      <c r="I40" s="44"/>
      <c r="J40" s="41"/>
      <c r="K40" s="45"/>
    </row>
    <row r="41" spans="1:11" ht="18" customHeight="1" thickBot="1" x14ac:dyDescent="0.3">
      <c r="A41" s="36"/>
      <c r="B41" s="37" t="s">
        <v>45</v>
      </c>
      <c r="C41" s="38" t="s">
        <v>14</v>
      </c>
      <c r="D41" s="39">
        <v>85.9</v>
      </c>
      <c r="E41" s="40"/>
      <c r="F41" s="41"/>
      <c r="G41" s="71"/>
      <c r="H41" s="43"/>
      <c r="I41" s="44"/>
      <c r="J41" s="41"/>
      <c r="K41" s="45"/>
    </row>
    <row r="42" spans="1:11" ht="51.75" customHeight="1" x14ac:dyDescent="0.25">
      <c r="A42" s="27" t="e">
        <f>MAX($A$9:A41)+1</f>
        <v>#REF!</v>
      </c>
      <c r="B42" s="28" t="s">
        <v>47</v>
      </c>
      <c r="C42" s="65" t="s">
        <v>41</v>
      </c>
      <c r="D42" s="30">
        <v>1290.0999999999999</v>
      </c>
      <c r="E42" s="57"/>
      <c r="F42" s="58"/>
      <c r="G42" s="57"/>
      <c r="H42" s="59"/>
      <c r="I42" s="60"/>
      <c r="J42" s="58"/>
      <c r="K42" s="61"/>
    </row>
    <row r="43" spans="1:11" ht="18" customHeight="1" x14ac:dyDescent="0.25">
      <c r="A43" s="36"/>
      <c r="B43" s="37" t="s">
        <v>42</v>
      </c>
      <c r="C43" s="38" t="s">
        <v>43</v>
      </c>
      <c r="D43" s="39">
        <f>ROUNDUP(D42/500,0)</f>
        <v>3</v>
      </c>
      <c r="E43" s="40"/>
      <c r="F43" s="41"/>
      <c r="G43" s="42"/>
      <c r="H43" s="43"/>
      <c r="I43" s="44"/>
      <c r="J43" s="41"/>
      <c r="K43" s="45"/>
    </row>
    <row r="44" spans="1:11" ht="18" customHeight="1" x14ac:dyDescent="0.25">
      <c r="A44" s="36"/>
      <c r="B44" s="37" t="s">
        <v>44</v>
      </c>
      <c r="C44" s="38" t="s">
        <v>43</v>
      </c>
      <c r="D44" s="39">
        <f>ROUNDUP(D42/500,0)</f>
        <v>3</v>
      </c>
      <c r="E44" s="40"/>
      <c r="F44" s="41"/>
      <c r="G44" s="42"/>
      <c r="H44" s="43"/>
      <c r="I44" s="44"/>
      <c r="J44" s="41"/>
      <c r="K44" s="45"/>
    </row>
    <row r="45" spans="1:11" ht="18" customHeight="1" thickBot="1" x14ac:dyDescent="0.3">
      <c r="A45" s="36"/>
      <c r="B45" s="37" t="s">
        <v>48</v>
      </c>
      <c r="C45" s="38" t="s">
        <v>14</v>
      </c>
      <c r="D45" s="39">
        <f>D42*0.2*1.26</f>
        <v>325.10519999999997</v>
      </c>
      <c r="E45" s="40"/>
      <c r="F45" s="41"/>
      <c r="G45" s="71"/>
      <c r="H45" s="43"/>
      <c r="I45" s="44"/>
      <c r="J45" s="41"/>
      <c r="K45" s="45"/>
    </row>
    <row r="46" spans="1:11" ht="51.75" customHeight="1" x14ac:dyDescent="0.25">
      <c r="A46" s="27" t="e">
        <f>MAX($A$9:A45)+1</f>
        <v>#REF!</v>
      </c>
      <c r="B46" s="28" t="s">
        <v>49</v>
      </c>
      <c r="C46" s="65" t="s">
        <v>41</v>
      </c>
      <c r="D46" s="30">
        <v>565.1</v>
      </c>
      <c r="E46" s="57"/>
      <c r="F46" s="58"/>
      <c r="G46" s="57"/>
      <c r="H46" s="59"/>
      <c r="I46" s="60"/>
      <c r="J46" s="58"/>
      <c r="K46" s="61"/>
    </row>
    <row r="47" spans="1:11" ht="18" customHeight="1" x14ac:dyDescent="0.25">
      <c r="A47" s="36"/>
      <c r="B47" s="37" t="s">
        <v>44</v>
      </c>
      <c r="C47" s="38" t="s">
        <v>43</v>
      </c>
      <c r="D47" s="39">
        <f>ROUNDUP(D46/1000,0)</f>
        <v>1</v>
      </c>
      <c r="E47" s="40"/>
      <c r="F47" s="41"/>
      <c r="G47" s="42"/>
      <c r="H47" s="43"/>
      <c r="I47" s="44"/>
      <c r="J47" s="41"/>
      <c r="K47" s="45"/>
    </row>
    <row r="48" spans="1:11" ht="18" customHeight="1" thickBot="1" x14ac:dyDescent="0.3">
      <c r="A48" s="72"/>
      <c r="B48" s="73" t="s">
        <v>48</v>
      </c>
      <c r="C48" s="74" t="s">
        <v>14</v>
      </c>
      <c r="D48" s="75">
        <f>D46*0.13*1.26</f>
        <v>92.563380000000009</v>
      </c>
      <c r="E48" s="76"/>
      <c r="F48" s="77"/>
      <c r="G48" s="78"/>
      <c r="H48" s="79"/>
      <c r="I48" s="80"/>
      <c r="J48" s="77"/>
      <c r="K48" s="81"/>
    </row>
    <row r="49" spans="1:11" ht="51.75" customHeight="1" x14ac:dyDescent="0.25">
      <c r="A49" s="27" t="e">
        <f>MAX($A$9:A48)+1</f>
        <v>#REF!</v>
      </c>
      <c r="B49" s="28" t="s">
        <v>50</v>
      </c>
      <c r="C49" s="65" t="s">
        <v>41</v>
      </c>
      <c r="D49" s="30">
        <v>1290.0999999999999</v>
      </c>
      <c r="E49" s="57"/>
      <c r="F49" s="58"/>
      <c r="G49" s="57"/>
      <c r="H49" s="59"/>
      <c r="I49" s="60"/>
      <c r="J49" s="58"/>
      <c r="K49" s="61"/>
    </row>
    <row r="50" spans="1:11" ht="18" customHeight="1" x14ac:dyDescent="0.25">
      <c r="A50" s="36"/>
      <c r="B50" s="37" t="s">
        <v>7</v>
      </c>
      <c r="C50" s="38" t="s">
        <v>41</v>
      </c>
      <c r="D50" s="39">
        <f>D49</f>
        <v>1290.0999999999999</v>
      </c>
      <c r="E50" s="40"/>
      <c r="F50" s="41"/>
      <c r="G50" s="42"/>
      <c r="H50" s="43"/>
      <c r="I50" s="44"/>
      <c r="J50" s="41"/>
      <c r="K50" s="45"/>
    </row>
    <row r="51" spans="1:11" ht="18" customHeight="1" x14ac:dyDescent="0.25">
      <c r="A51" s="36"/>
      <c r="B51" s="37" t="s">
        <v>51</v>
      </c>
      <c r="C51" s="38" t="s">
        <v>43</v>
      </c>
      <c r="D51" s="39">
        <f>ROUNDUP(D49/1000,0)</f>
        <v>2</v>
      </c>
      <c r="E51" s="40"/>
      <c r="F51" s="41"/>
      <c r="G51" s="42"/>
      <c r="H51" s="43"/>
      <c r="I51" s="44"/>
      <c r="J51" s="41"/>
      <c r="K51" s="45"/>
    </row>
    <row r="52" spans="1:11" ht="18" customHeight="1" x14ac:dyDescent="0.25">
      <c r="A52" s="36"/>
      <c r="B52" s="37" t="s">
        <v>44</v>
      </c>
      <c r="C52" s="38" t="s">
        <v>43</v>
      </c>
      <c r="D52" s="39">
        <f>ROUNDUP(D49/1000,0)</f>
        <v>2</v>
      </c>
      <c r="E52" s="40"/>
      <c r="F52" s="41"/>
      <c r="G52" s="42"/>
      <c r="H52" s="43"/>
      <c r="I52" s="44"/>
      <c r="J52" s="41"/>
      <c r="K52" s="45"/>
    </row>
    <row r="53" spans="1:11" ht="18" customHeight="1" thickBot="1" x14ac:dyDescent="0.3">
      <c r="A53" s="36"/>
      <c r="B53" s="37" t="s">
        <v>52</v>
      </c>
      <c r="C53" s="38" t="s">
        <v>32</v>
      </c>
      <c r="D53" s="39">
        <f>D49*(97.4)/1000</f>
        <v>125.65574000000001</v>
      </c>
      <c r="E53" s="40"/>
      <c r="F53" s="41"/>
      <c r="G53" s="71"/>
      <c r="H53" s="43"/>
      <c r="I53" s="44"/>
      <c r="J53" s="41"/>
      <c r="K53" s="45"/>
    </row>
    <row r="54" spans="1:11" ht="51.75" customHeight="1" x14ac:dyDescent="0.25">
      <c r="A54" s="27" t="e">
        <f>MAX($A$9:A53)+1</f>
        <v>#REF!</v>
      </c>
      <c r="B54" s="28" t="s">
        <v>53</v>
      </c>
      <c r="C54" s="65" t="s">
        <v>41</v>
      </c>
      <c r="D54" s="30">
        <v>1290.0999999999999</v>
      </c>
      <c r="E54" s="57"/>
      <c r="F54" s="58"/>
      <c r="G54" s="57"/>
      <c r="H54" s="59"/>
      <c r="I54" s="60"/>
      <c r="J54" s="58"/>
      <c r="K54" s="61"/>
    </row>
    <row r="55" spans="1:11" ht="18" customHeight="1" x14ac:dyDescent="0.25">
      <c r="A55" s="36"/>
      <c r="B55" s="37" t="s">
        <v>54</v>
      </c>
      <c r="C55" s="38" t="s">
        <v>43</v>
      </c>
      <c r="D55" s="39">
        <f>ROUNDUP(D54/2000,0)</f>
        <v>1</v>
      </c>
      <c r="E55" s="40"/>
      <c r="F55" s="41"/>
      <c r="G55" s="42"/>
      <c r="H55" s="43"/>
      <c r="I55" s="44"/>
      <c r="J55" s="41"/>
      <c r="K55" s="45"/>
    </row>
    <row r="56" spans="1:11" ht="18" customHeight="1" thickBot="1" x14ac:dyDescent="0.3">
      <c r="A56" s="36"/>
      <c r="B56" s="37" t="s">
        <v>55</v>
      </c>
      <c r="C56" s="38" t="s">
        <v>32</v>
      </c>
      <c r="D56" s="39">
        <f>D54*0.7/1000</f>
        <v>0.90306999999999982</v>
      </c>
      <c r="E56" s="40"/>
      <c r="F56" s="41"/>
      <c r="G56" s="71"/>
      <c r="H56" s="43"/>
      <c r="I56" s="44"/>
      <c r="J56" s="41"/>
      <c r="K56" s="45"/>
    </row>
    <row r="57" spans="1:11" ht="51.75" customHeight="1" x14ac:dyDescent="0.25">
      <c r="A57" s="27" t="e">
        <f>MAX($A$9:A56)+1</f>
        <v>#REF!</v>
      </c>
      <c r="B57" s="28" t="s">
        <v>56</v>
      </c>
      <c r="C57" s="65" t="s">
        <v>41</v>
      </c>
      <c r="D57" s="30">
        <v>1290.0999999999999</v>
      </c>
      <c r="E57" s="57"/>
      <c r="F57" s="58"/>
      <c r="G57" s="57"/>
      <c r="H57" s="59"/>
      <c r="I57" s="60"/>
      <c r="J57" s="58"/>
      <c r="K57" s="61"/>
    </row>
    <row r="58" spans="1:11" ht="18" customHeight="1" x14ac:dyDescent="0.25">
      <c r="A58" s="36"/>
      <c r="B58" s="37" t="s">
        <v>7</v>
      </c>
      <c r="C58" s="38" t="s">
        <v>41</v>
      </c>
      <c r="D58" s="39">
        <f>D57</f>
        <v>1290.0999999999999</v>
      </c>
      <c r="E58" s="40"/>
      <c r="F58" s="41"/>
      <c r="G58" s="42"/>
      <c r="H58" s="43"/>
      <c r="I58" s="44"/>
      <c r="J58" s="41"/>
      <c r="K58" s="45"/>
    </row>
    <row r="59" spans="1:11" ht="18" customHeight="1" x14ac:dyDescent="0.25">
      <c r="A59" s="36"/>
      <c r="B59" s="37" t="s">
        <v>51</v>
      </c>
      <c r="C59" s="38" t="s">
        <v>43</v>
      </c>
      <c r="D59" s="39">
        <f>ROUNDUP(D57/1000,0)</f>
        <v>2</v>
      </c>
      <c r="E59" s="40"/>
      <c r="F59" s="41"/>
      <c r="G59" s="42"/>
      <c r="H59" s="43"/>
      <c r="I59" s="44"/>
      <c r="J59" s="41"/>
      <c r="K59" s="45"/>
    </row>
    <row r="60" spans="1:11" ht="18" customHeight="1" x14ac:dyDescent="0.25">
      <c r="A60" s="36"/>
      <c r="B60" s="37" t="s">
        <v>44</v>
      </c>
      <c r="C60" s="38" t="s">
        <v>43</v>
      </c>
      <c r="D60" s="39">
        <f>ROUNDUP(D57/1000,0)</f>
        <v>2</v>
      </c>
      <c r="E60" s="40"/>
      <c r="F60" s="41"/>
      <c r="G60" s="42"/>
      <c r="H60" s="43"/>
      <c r="I60" s="44"/>
      <c r="J60" s="41"/>
      <c r="K60" s="45"/>
    </row>
    <row r="61" spans="1:11" ht="18" customHeight="1" thickBot="1" x14ac:dyDescent="0.3">
      <c r="A61" s="36"/>
      <c r="B61" s="37" t="s">
        <v>52</v>
      </c>
      <c r="C61" s="38" t="s">
        <v>32</v>
      </c>
      <c r="D61" s="39">
        <f>D57*(97.4+12.1*4)/1000</f>
        <v>188.09657999999999</v>
      </c>
      <c r="E61" s="40"/>
      <c r="F61" s="41"/>
      <c r="G61" s="71"/>
      <c r="H61" s="43"/>
      <c r="I61" s="44"/>
      <c r="J61" s="41"/>
      <c r="K61" s="45"/>
    </row>
    <row r="62" spans="1:11" ht="51.75" customHeight="1" x14ac:dyDescent="0.25">
      <c r="A62" s="27" t="e">
        <f>MAX($A$9:A61)+1</f>
        <v>#REF!</v>
      </c>
      <c r="B62" s="28" t="s">
        <v>57</v>
      </c>
      <c r="C62" s="65" t="s">
        <v>41</v>
      </c>
      <c r="D62" s="30">
        <v>1290.0999999999999</v>
      </c>
      <c r="E62" s="57"/>
      <c r="F62" s="58"/>
      <c r="G62" s="57"/>
      <c r="H62" s="59"/>
      <c r="I62" s="60"/>
      <c r="J62" s="58"/>
      <c r="K62" s="61"/>
    </row>
    <row r="63" spans="1:11" ht="18" customHeight="1" x14ac:dyDescent="0.25">
      <c r="A63" s="36"/>
      <c r="B63" s="37" t="s">
        <v>54</v>
      </c>
      <c r="C63" s="38" t="s">
        <v>43</v>
      </c>
      <c r="D63" s="39">
        <f>ROUNDUP(D62/2000,0)</f>
        <v>1</v>
      </c>
      <c r="E63" s="40"/>
      <c r="F63" s="41"/>
      <c r="G63" s="42"/>
      <c r="H63" s="43"/>
      <c r="I63" s="44"/>
      <c r="J63" s="41"/>
      <c r="K63" s="45"/>
    </row>
    <row r="64" spans="1:11" ht="18" customHeight="1" thickBot="1" x14ac:dyDescent="0.3">
      <c r="A64" s="36"/>
      <c r="B64" s="37" t="s">
        <v>55</v>
      </c>
      <c r="C64" s="38" t="s">
        <v>32</v>
      </c>
      <c r="D64" s="39">
        <f>D62*0.3/1000</f>
        <v>0.38702999999999999</v>
      </c>
      <c r="E64" s="40"/>
      <c r="F64" s="41"/>
      <c r="G64" s="71"/>
      <c r="H64" s="43"/>
      <c r="I64" s="44"/>
      <c r="J64" s="41"/>
      <c r="K64" s="45"/>
    </row>
    <row r="65" spans="1:11" s="26" customFormat="1" ht="15.75" thickBot="1" x14ac:dyDescent="0.3">
      <c r="A65" s="18"/>
      <c r="B65" s="19" t="s">
        <v>58</v>
      </c>
      <c r="C65" s="19"/>
      <c r="D65" s="20"/>
      <c r="E65" s="21"/>
      <c r="F65" s="22"/>
      <c r="G65" s="23"/>
      <c r="H65" s="20"/>
      <c r="I65" s="21"/>
      <c r="J65" s="24"/>
      <c r="K65" s="25"/>
    </row>
    <row r="66" spans="1:11" ht="35.25" customHeight="1" x14ac:dyDescent="0.25">
      <c r="A66" s="27" t="e">
        <f>MAX($A$9:A65)+1</f>
        <v>#REF!</v>
      </c>
      <c r="B66" s="28" t="s">
        <v>59</v>
      </c>
      <c r="C66" s="65" t="s">
        <v>60</v>
      </c>
      <c r="D66" s="30">
        <v>205</v>
      </c>
      <c r="E66" s="57"/>
      <c r="F66" s="58"/>
      <c r="G66" s="57"/>
      <c r="H66" s="59"/>
      <c r="I66" s="60"/>
      <c r="J66" s="58"/>
      <c r="K66" s="61"/>
    </row>
    <row r="67" spans="1:11" ht="18" customHeight="1" x14ac:dyDescent="0.25">
      <c r="A67" s="36"/>
      <c r="B67" s="37" t="s">
        <v>7</v>
      </c>
      <c r="C67" s="38" t="s">
        <v>60</v>
      </c>
      <c r="D67" s="39">
        <f>D66</f>
        <v>205</v>
      </c>
      <c r="E67" s="40"/>
      <c r="F67" s="41"/>
      <c r="G67" s="42"/>
      <c r="H67" s="43"/>
      <c r="I67" s="44"/>
      <c r="J67" s="41"/>
      <c r="K67" s="45"/>
    </row>
    <row r="68" spans="1:11" ht="18" customHeight="1" x14ac:dyDescent="0.25">
      <c r="A68" s="36"/>
      <c r="B68" s="37" t="s">
        <v>61</v>
      </c>
      <c r="C68" s="38" t="s">
        <v>14</v>
      </c>
      <c r="D68" s="39">
        <f>D66*0.055</f>
        <v>11.275</v>
      </c>
      <c r="E68" s="40"/>
      <c r="F68" s="41"/>
      <c r="G68" s="42"/>
      <c r="H68" s="43"/>
      <c r="I68" s="44"/>
      <c r="J68" s="41"/>
      <c r="K68" s="45"/>
    </row>
    <row r="69" spans="1:11" ht="18" customHeight="1" thickBot="1" x14ac:dyDescent="0.3">
      <c r="A69" s="36"/>
      <c r="B69" s="37" t="s">
        <v>62</v>
      </c>
      <c r="C69" s="38" t="s">
        <v>60</v>
      </c>
      <c r="D69" s="39">
        <f>D66</f>
        <v>205</v>
      </c>
      <c r="E69" s="40"/>
      <c r="F69" s="41"/>
      <c r="G69" s="42"/>
      <c r="H69" s="43"/>
      <c r="I69" s="44"/>
      <c r="J69" s="41"/>
      <c r="K69" s="45"/>
    </row>
    <row r="70" spans="1:11" ht="35.25" customHeight="1" x14ac:dyDescent="0.25">
      <c r="A70" s="27" t="e">
        <f>MAX($A$9:A69)+1</f>
        <v>#REF!</v>
      </c>
      <c r="B70" s="28" t="s">
        <v>63</v>
      </c>
      <c r="C70" s="65" t="s">
        <v>60</v>
      </c>
      <c r="D70" s="30">
        <v>145</v>
      </c>
      <c r="E70" s="57"/>
      <c r="F70" s="58"/>
      <c r="G70" s="57"/>
      <c r="H70" s="59"/>
      <c r="I70" s="60"/>
      <c r="J70" s="58"/>
      <c r="K70" s="61"/>
    </row>
    <row r="71" spans="1:11" ht="18" customHeight="1" x14ac:dyDescent="0.25">
      <c r="A71" s="36"/>
      <c r="B71" s="37" t="s">
        <v>7</v>
      </c>
      <c r="C71" s="38" t="s">
        <v>60</v>
      </c>
      <c r="D71" s="39">
        <f>D70</f>
        <v>145</v>
      </c>
      <c r="E71" s="40"/>
      <c r="F71" s="41"/>
      <c r="G71" s="42"/>
      <c r="H71" s="43"/>
      <c r="I71" s="44"/>
      <c r="J71" s="41"/>
      <c r="K71" s="45"/>
    </row>
    <row r="72" spans="1:11" ht="18" customHeight="1" x14ac:dyDescent="0.25">
      <c r="A72" s="36"/>
      <c r="B72" s="37" t="s">
        <v>61</v>
      </c>
      <c r="C72" s="38" t="s">
        <v>14</v>
      </c>
      <c r="D72" s="39">
        <f>D70*0.05</f>
        <v>7.25</v>
      </c>
      <c r="E72" s="40"/>
      <c r="F72" s="41"/>
      <c r="G72" s="42"/>
      <c r="H72" s="43"/>
      <c r="I72" s="44"/>
      <c r="J72" s="41"/>
      <c r="K72" s="45"/>
    </row>
    <row r="73" spans="1:11" ht="18" customHeight="1" thickBot="1" x14ac:dyDescent="0.3">
      <c r="A73" s="36"/>
      <c r="B73" s="37" t="s">
        <v>64</v>
      </c>
      <c r="C73" s="38" t="s">
        <v>60</v>
      </c>
      <c r="D73" s="39">
        <f>D70</f>
        <v>145</v>
      </c>
      <c r="E73" s="40"/>
      <c r="F73" s="41"/>
      <c r="G73" s="42"/>
      <c r="H73" s="43"/>
      <c r="I73" s="44"/>
      <c r="J73" s="41"/>
      <c r="K73" s="45"/>
    </row>
    <row r="74" spans="1:11" ht="51.75" customHeight="1" x14ac:dyDescent="0.25">
      <c r="A74" s="27" t="e">
        <f>MAX($A$9:A73)+1</f>
        <v>#REF!</v>
      </c>
      <c r="B74" s="28" t="s">
        <v>65</v>
      </c>
      <c r="C74" s="65" t="s">
        <v>41</v>
      </c>
      <c r="D74" s="30">
        <v>217</v>
      </c>
      <c r="E74" s="57"/>
      <c r="F74" s="58"/>
      <c r="G74" s="57"/>
      <c r="H74" s="59"/>
      <c r="I74" s="60"/>
      <c r="J74" s="58"/>
      <c r="K74" s="61"/>
    </row>
    <row r="75" spans="1:11" ht="18" customHeight="1" x14ac:dyDescent="0.25">
      <c r="A75" s="36"/>
      <c r="B75" s="37" t="s">
        <v>42</v>
      </c>
      <c r="C75" s="38" t="s">
        <v>43</v>
      </c>
      <c r="D75" s="39">
        <f>ROUNDUP(D74/1000,0)</f>
        <v>1</v>
      </c>
      <c r="E75" s="40"/>
      <c r="F75" s="41"/>
      <c r="G75" s="42"/>
      <c r="H75" s="43"/>
      <c r="I75" s="44"/>
      <c r="J75" s="41"/>
      <c r="K75" s="45"/>
    </row>
    <row r="76" spans="1:11" ht="18" customHeight="1" x14ac:dyDescent="0.25">
      <c r="A76" s="36"/>
      <c r="B76" s="37" t="s">
        <v>44</v>
      </c>
      <c r="C76" s="38" t="s">
        <v>43</v>
      </c>
      <c r="D76" s="39">
        <f>ROUNDUP(D74/1000,0)</f>
        <v>1</v>
      </c>
      <c r="E76" s="40"/>
      <c r="F76" s="41"/>
      <c r="G76" s="42"/>
      <c r="H76" s="43"/>
      <c r="I76" s="44"/>
      <c r="J76" s="41"/>
      <c r="K76" s="45"/>
    </row>
    <row r="77" spans="1:11" ht="18" customHeight="1" thickBot="1" x14ac:dyDescent="0.3">
      <c r="A77" s="36"/>
      <c r="B77" s="37" t="s">
        <v>66</v>
      </c>
      <c r="C77" s="38" t="s">
        <v>14</v>
      </c>
      <c r="D77" s="39">
        <f>D74*0.15*1.26</f>
        <v>41.012999999999998</v>
      </c>
      <c r="E77" s="40"/>
      <c r="F77" s="41"/>
      <c r="G77" s="71"/>
      <c r="H77" s="43"/>
      <c r="I77" s="44"/>
      <c r="J77" s="41"/>
      <c r="K77" s="45"/>
    </row>
    <row r="78" spans="1:11" ht="51.75" customHeight="1" x14ac:dyDescent="0.25">
      <c r="A78" s="27" t="e">
        <f>MAX($A$9:A77)+1</f>
        <v>#REF!</v>
      </c>
      <c r="B78" s="28" t="s">
        <v>67</v>
      </c>
      <c r="C78" s="65" t="s">
        <v>41</v>
      </c>
      <c r="D78" s="30">
        <v>217</v>
      </c>
      <c r="E78" s="57"/>
      <c r="F78" s="58"/>
      <c r="G78" s="57"/>
      <c r="H78" s="59"/>
      <c r="I78" s="60"/>
      <c r="J78" s="58"/>
      <c r="K78" s="61"/>
    </row>
    <row r="79" spans="1:11" ht="18" customHeight="1" x14ac:dyDescent="0.25">
      <c r="A79" s="36"/>
      <c r="B79" s="37" t="s">
        <v>7</v>
      </c>
      <c r="C79" s="38" t="s">
        <v>41</v>
      </c>
      <c r="D79" s="39">
        <f>D78</f>
        <v>217</v>
      </c>
      <c r="E79" s="40"/>
      <c r="F79" s="41"/>
      <c r="G79" s="42"/>
      <c r="H79" s="43"/>
      <c r="I79" s="44"/>
      <c r="J79" s="41"/>
      <c r="K79" s="45"/>
    </row>
    <row r="80" spans="1:11" ht="18" customHeight="1" x14ac:dyDescent="0.25">
      <c r="A80" s="36"/>
      <c r="B80" s="37" t="s">
        <v>68</v>
      </c>
      <c r="C80" s="38" t="s">
        <v>14</v>
      </c>
      <c r="D80" s="39">
        <f>D78*0.1*1.1</f>
        <v>23.870000000000005</v>
      </c>
      <c r="E80" s="40"/>
      <c r="F80" s="41"/>
      <c r="G80" s="42"/>
      <c r="H80" s="43"/>
      <c r="I80" s="44"/>
      <c r="J80" s="41"/>
      <c r="K80" s="45"/>
    </row>
    <row r="81" spans="1:11" ht="18" customHeight="1" thickBot="1" x14ac:dyDescent="0.3">
      <c r="A81" s="36"/>
      <c r="B81" s="37" t="s">
        <v>69</v>
      </c>
      <c r="C81" s="38" t="s">
        <v>32</v>
      </c>
      <c r="D81" s="39">
        <f>D80*1.6*0.1</f>
        <v>3.8192000000000008</v>
      </c>
      <c r="E81" s="40"/>
      <c r="F81" s="41"/>
      <c r="G81" s="71"/>
      <c r="H81" s="43"/>
      <c r="I81" s="44"/>
      <c r="J81" s="41"/>
      <c r="K81" s="45"/>
    </row>
    <row r="82" spans="1:11" ht="51.75" customHeight="1" x14ac:dyDescent="0.25">
      <c r="A82" s="27" t="e">
        <f>MAX($A$9:A81)+1</f>
        <v>#REF!</v>
      </c>
      <c r="B82" s="28" t="s">
        <v>70</v>
      </c>
      <c r="C82" s="65" t="s">
        <v>41</v>
      </c>
      <c r="D82" s="30">
        <v>205</v>
      </c>
      <c r="E82" s="57"/>
      <c r="F82" s="58"/>
      <c r="G82" s="57"/>
      <c r="H82" s="59"/>
      <c r="I82" s="60"/>
      <c r="J82" s="58"/>
      <c r="K82" s="61"/>
    </row>
    <row r="83" spans="1:11" ht="18" customHeight="1" x14ac:dyDescent="0.25">
      <c r="A83" s="36"/>
      <c r="B83" s="37" t="s">
        <v>7</v>
      </c>
      <c r="C83" s="38" t="s">
        <v>41</v>
      </c>
      <c r="D83" s="39">
        <f>D82</f>
        <v>205</v>
      </c>
      <c r="E83" s="40"/>
      <c r="F83" s="41"/>
      <c r="G83" s="42"/>
      <c r="H83" s="43"/>
      <c r="I83" s="44"/>
      <c r="J83" s="41"/>
      <c r="K83" s="45"/>
    </row>
    <row r="84" spans="1:11" ht="18" customHeight="1" thickBot="1" x14ac:dyDescent="0.3">
      <c r="A84" s="36"/>
      <c r="B84" s="37" t="s">
        <v>71</v>
      </c>
      <c r="C84" s="38" t="s">
        <v>41</v>
      </c>
      <c r="D84" s="39">
        <f>D82*1.1</f>
        <v>225.50000000000003</v>
      </c>
      <c r="E84" s="40"/>
      <c r="F84" s="41"/>
      <c r="G84" s="42"/>
      <c r="H84" s="43"/>
      <c r="I84" s="44"/>
      <c r="J84" s="41"/>
      <c r="K84" s="45"/>
    </row>
    <row r="85" spans="1:11" s="26" customFormat="1" ht="15.75" thickBot="1" x14ac:dyDescent="0.3">
      <c r="A85" s="82"/>
      <c r="B85" s="83"/>
      <c r="C85" s="84"/>
      <c r="D85" s="85"/>
      <c r="E85" s="86"/>
      <c r="F85" s="87"/>
      <c r="G85" s="88"/>
      <c r="H85" s="89"/>
      <c r="I85" s="86"/>
      <c r="J85" s="87"/>
      <c r="K85" s="90"/>
    </row>
    <row r="86" spans="1:11" x14ac:dyDescent="0.25">
      <c r="A86" s="91"/>
      <c r="B86" s="65" t="s">
        <v>72</v>
      </c>
      <c r="C86" s="65" t="s">
        <v>73</v>
      </c>
      <c r="D86" s="92"/>
      <c r="E86" s="93"/>
      <c r="F86" s="58">
        <f>SUM(F8:F85)</f>
        <v>0</v>
      </c>
      <c r="G86" s="94"/>
      <c r="H86" s="58">
        <f>SUM(H8:H85)</f>
        <v>0</v>
      </c>
      <c r="I86" s="93"/>
      <c r="J86" s="58">
        <f>SUM(J8:J85)</f>
        <v>0</v>
      </c>
      <c r="K86" s="58">
        <f>SUM(K8:K85)</f>
        <v>0</v>
      </c>
    </row>
    <row r="87" spans="1:11" x14ac:dyDescent="0.25">
      <c r="A87" s="95"/>
      <c r="B87" s="96" t="s">
        <v>74</v>
      </c>
      <c r="C87" s="97">
        <v>5.0000000000000001E-3</v>
      </c>
      <c r="D87" s="98"/>
      <c r="E87" s="99"/>
      <c r="F87" s="100">
        <f>F86*C87</f>
        <v>0</v>
      </c>
      <c r="G87" s="101"/>
      <c r="H87" s="102"/>
      <c r="I87" s="99"/>
      <c r="J87" s="100"/>
      <c r="K87" s="45">
        <f>F87+H87+J87</f>
        <v>0</v>
      </c>
    </row>
    <row r="88" spans="1:11" ht="15.75" thickBot="1" x14ac:dyDescent="0.3">
      <c r="A88" s="103"/>
      <c r="B88" s="104" t="s">
        <v>72</v>
      </c>
      <c r="C88" s="105"/>
      <c r="D88" s="106"/>
      <c r="E88" s="107"/>
      <c r="F88" s="108">
        <f>SUM(F86:F87)</f>
        <v>0</v>
      </c>
      <c r="G88" s="109"/>
      <c r="H88" s="110">
        <f>SUM(H86:H87)</f>
        <v>0</v>
      </c>
      <c r="I88" s="107"/>
      <c r="J88" s="108">
        <f>SUM(J86:J87)</f>
        <v>0</v>
      </c>
      <c r="K88" s="111">
        <f>SUM(K86:K87)</f>
        <v>0</v>
      </c>
    </row>
    <row r="89" spans="1:11" s="119" customFormat="1" x14ac:dyDescent="0.25">
      <c r="A89" s="112"/>
      <c r="B89" s="113" t="s">
        <v>75</v>
      </c>
      <c r="C89" s="114">
        <v>0.09</v>
      </c>
      <c r="D89" s="115"/>
      <c r="E89" s="116"/>
      <c r="F89" s="117"/>
      <c r="G89" s="93"/>
      <c r="H89" s="117"/>
      <c r="I89" s="93"/>
      <c r="J89" s="117"/>
      <c r="K89" s="118">
        <f>K88*C89</f>
        <v>0</v>
      </c>
    </row>
    <row r="90" spans="1:11" s="119" customFormat="1" x14ac:dyDescent="0.25">
      <c r="A90" s="120"/>
      <c r="B90" s="121" t="s">
        <v>72</v>
      </c>
      <c r="C90" s="122"/>
      <c r="D90" s="123"/>
      <c r="E90" s="124"/>
      <c r="F90" s="125"/>
      <c r="G90" s="126"/>
      <c r="H90" s="125"/>
      <c r="I90" s="126"/>
      <c r="J90" s="125"/>
      <c r="K90" s="127">
        <f>K89+K88</f>
        <v>0</v>
      </c>
    </row>
    <row r="91" spans="1:11" s="119" customFormat="1" x14ac:dyDescent="0.25">
      <c r="A91" s="120"/>
      <c r="B91" s="128" t="s">
        <v>76</v>
      </c>
      <c r="C91" s="129">
        <v>7.0000000000000007E-2</v>
      </c>
      <c r="D91" s="130"/>
      <c r="E91" s="124"/>
      <c r="F91" s="125"/>
      <c r="G91" s="126"/>
      <c r="H91" s="125"/>
      <c r="I91" s="126"/>
      <c r="J91" s="125"/>
      <c r="K91" s="45">
        <f>K90*C91</f>
        <v>0</v>
      </c>
    </row>
    <row r="92" spans="1:11" s="119" customFormat="1" x14ac:dyDescent="0.25">
      <c r="A92" s="120"/>
      <c r="B92" s="121" t="s">
        <v>72</v>
      </c>
      <c r="C92" s="122"/>
      <c r="D92" s="123"/>
      <c r="E92" s="124"/>
      <c r="F92" s="125"/>
      <c r="G92" s="126"/>
      <c r="H92" s="125"/>
      <c r="I92" s="126"/>
      <c r="J92" s="125"/>
      <c r="K92" s="127">
        <f>SUM(K90:K91)</f>
        <v>0</v>
      </c>
    </row>
    <row r="93" spans="1:11" ht="39.75" customHeight="1" x14ac:dyDescent="0.25">
      <c r="A93" s="131"/>
      <c r="B93" s="132" t="s">
        <v>77</v>
      </c>
      <c r="C93" s="133">
        <v>1.7999999999999999E-2</v>
      </c>
      <c r="D93" s="134"/>
      <c r="E93" s="135"/>
      <c r="F93" s="136"/>
      <c r="G93" s="137"/>
      <c r="H93" s="136"/>
      <c r="I93" s="137"/>
      <c r="J93" s="136"/>
      <c r="K93" s="138">
        <f>K92*C93</f>
        <v>0</v>
      </c>
    </row>
    <row r="94" spans="1:11" x14ac:dyDescent="0.25">
      <c r="A94" s="139"/>
      <c r="B94" s="140" t="s">
        <v>72</v>
      </c>
      <c r="C94" s="141"/>
      <c r="D94" s="142"/>
      <c r="E94" s="143"/>
      <c r="F94" s="144"/>
      <c r="G94" s="145"/>
      <c r="H94" s="144"/>
      <c r="I94" s="145"/>
      <c r="J94" s="144"/>
      <c r="K94" s="146">
        <f>SUM(K92:K93)</f>
        <v>0</v>
      </c>
    </row>
    <row r="95" spans="1:11" x14ac:dyDescent="0.25">
      <c r="A95" s="131"/>
      <c r="B95" s="147" t="s">
        <v>78</v>
      </c>
      <c r="C95" s="133">
        <v>0.18</v>
      </c>
      <c r="D95" s="134"/>
      <c r="E95" s="135"/>
      <c r="F95" s="136"/>
      <c r="G95" s="137"/>
      <c r="H95" s="136"/>
      <c r="I95" s="137"/>
      <c r="J95" s="136"/>
      <c r="K95" s="138">
        <f>K94*C95</f>
        <v>0</v>
      </c>
    </row>
    <row r="96" spans="1:11" ht="15.75" thickBot="1" x14ac:dyDescent="0.3">
      <c r="A96" s="148"/>
      <c r="B96" s="149" t="s">
        <v>79</v>
      </c>
      <c r="C96" s="150"/>
      <c r="D96" s="151"/>
      <c r="E96" s="152"/>
      <c r="F96" s="153"/>
      <c r="G96" s="154"/>
      <c r="H96" s="153"/>
      <c r="I96" s="154"/>
      <c r="J96" s="153"/>
      <c r="K96" s="155">
        <f>K95+K94</f>
        <v>0</v>
      </c>
    </row>
    <row r="99" spans="11:11" x14ac:dyDescent="0.25">
      <c r="K99" s="156">
        <f>K96/2.7</f>
        <v>0</v>
      </c>
    </row>
    <row r="1140" spans="1:19" s="158" customFormat="1" x14ac:dyDescent="0.25">
      <c r="A1140" s="1"/>
      <c r="B1140" s="1"/>
      <c r="C1140" s="1"/>
      <c r="D1140" s="157"/>
      <c r="L1140" s="1"/>
      <c r="M1140" s="1"/>
      <c r="N1140" s="1"/>
      <c r="O1140" s="1"/>
      <c r="P1140" s="1"/>
      <c r="Q1140" s="1"/>
      <c r="R1140" s="1"/>
      <c r="S1140" s="1"/>
    </row>
    <row r="1142" spans="1:19" s="158" customFormat="1" x14ac:dyDescent="0.25">
      <c r="A1142" s="1"/>
      <c r="B1142" s="1"/>
      <c r="C1142" s="1"/>
      <c r="D1142" s="159"/>
      <c r="L1142" s="1"/>
      <c r="M1142" s="1"/>
      <c r="N1142" s="1"/>
      <c r="O1142" s="1"/>
      <c r="P1142" s="1"/>
      <c r="Q1142" s="1"/>
      <c r="R1142" s="1"/>
      <c r="S1142" s="1"/>
    </row>
  </sheetData>
  <autoFilter ref="A7:K96" xr:uid="{A0B0EAD1-9F17-4BA2-8FD8-5F9C5A8BD7F4}"/>
  <mergeCells count="11">
    <mergeCell ref="K5:K6"/>
    <mergeCell ref="A1:K1"/>
    <mergeCell ref="A2:K2"/>
    <mergeCell ref="A3:K3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 - გზა და კედლები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Tornike Sudadze</dc:creator>
  <cp:lastModifiedBy>Giorgi Zakalashvili</cp:lastModifiedBy>
  <dcterms:created xsi:type="dcterms:W3CDTF">2022-12-08T11:47:03Z</dcterms:created>
  <dcterms:modified xsi:type="dcterms:W3CDTF">2022-12-13T09:39:22Z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734c74-3ec3-4e8f-91d9-a915579f742b_Enabled">
    <vt:lpwstr>true</vt:lpwstr>
  </property>
  <property fmtid="{D5CDD505-2E9C-101B-9397-08002B2CF9AE}" pid="3" name="MSIP_Label_80734c74-3ec3-4e8f-91d9-a915579f742b_SetDate">
    <vt:lpwstr>2022-12-13T09:38:45Z</vt:lpwstr>
  </property>
  <property fmtid="{D5CDD505-2E9C-101B-9397-08002B2CF9AE}" pid="4" name="MSIP_Label_80734c74-3ec3-4e8f-91d9-a915579f742b_Method">
    <vt:lpwstr>Privileged</vt:lpwstr>
  </property>
  <property fmtid="{D5CDD505-2E9C-101B-9397-08002B2CF9AE}" pid="5" name="MSIP_Label_80734c74-3ec3-4e8f-91d9-a915579f742b_Name">
    <vt:lpwstr>PROC OTHER</vt:lpwstr>
  </property>
  <property fmtid="{D5CDD505-2E9C-101B-9397-08002B2CF9AE}" pid="6" name="MSIP_Label_80734c74-3ec3-4e8f-91d9-a915579f742b_SiteId">
    <vt:lpwstr>e2029e44-8d8d-4545-b8ad-ca25d5446356</vt:lpwstr>
  </property>
  <property fmtid="{D5CDD505-2E9C-101B-9397-08002B2CF9AE}" pid="7" name="MSIP_Label_80734c74-3ec3-4e8f-91d9-a915579f742b_ActionId">
    <vt:lpwstr>89d3a79b-8a71-4d87-8bf8-98cf8bea1941</vt:lpwstr>
  </property>
  <property fmtid="{D5CDD505-2E9C-101B-9397-08002B2CF9AE}" pid="8" name="MSIP_Label_80734c74-3ec3-4e8f-91d9-a915579f742b_ContentBits">
    <vt:lpwstr>0</vt:lpwstr>
  </property>
</Properties>
</file>