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defaultThemeVersion="124226"/>
  <xr:revisionPtr revIDLastSave="0" documentId="8_{3F907188-EB86-4B8E-AA76-4CED4A77CA05}" xr6:coauthVersionLast="47" xr6:coauthVersionMax="47" xr10:uidLastSave="{00000000-0000-0000-0000-000000000000}"/>
  <bookViews>
    <workbookView xWindow="-110" yWindow="-110" windowWidth="22620" windowHeight="13620" tabRatio="760" activeTab="4" xr2:uid="{00000000-000D-0000-FFFF-FFFF00000000}"/>
  </bookViews>
  <sheets>
    <sheet name="საერთო ჯამი" sheetId="1" r:id="rId1"/>
    <sheet name="KNMC III  სართული" sheetId="18" r:id="rId2"/>
    <sheet name="KNMC IV სართული" sheetId="29" r:id="rId3"/>
    <sheet name="KNMC V სართული" sheetId="27" r:id="rId4"/>
    <sheet name="KNMC  V სართ. საოპ" sheetId="28" r:id="rId5"/>
    <sheet name="II სართული" sheetId="19" state="hidden" r:id="rId6"/>
    <sheet name="III სართული" sheetId="16" state="hidden" r:id="rId7"/>
    <sheet name="IV სართული" sheetId="11" state="hidden" r:id="rId8"/>
    <sheet name="V სართული" sheetId="17" state="hidden" r:id="rId9"/>
  </sheets>
  <definedNames>
    <definedName name="_xlnm._FilterDatabase" localSheetId="4" hidden="1">'KNMC  V სართ. საოპ'!$A$6:$P$100</definedName>
    <definedName name="_xlnm._FilterDatabase" localSheetId="1" hidden="1">'KNMC III  სართული'!$A$6:$O$59</definedName>
    <definedName name="_xlnm._FilterDatabase" localSheetId="2" hidden="1">'KNMC IV სართული'!$A$6:$N$84</definedName>
    <definedName name="_xlnm._FilterDatabase" localSheetId="3" hidden="1">'KNMC V სართული'!$A$6:$N$91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18" l="1"/>
  <c r="K73" i="28"/>
  <c r="I73" i="28"/>
  <c r="G73" i="28"/>
  <c r="K83" i="28"/>
  <c r="I83" i="28"/>
  <c r="G83" i="28"/>
  <c r="K82" i="28"/>
  <c r="I82" i="28"/>
  <c r="G82" i="28"/>
  <c r="K81" i="28"/>
  <c r="I81" i="28"/>
  <c r="G81" i="28"/>
  <c r="K80" i="28"/>
  <c r="I80" i="28"/>
  <c r="G80" i="28"/>
  <c r="K79" i="28"/>
  <c r="I79" i="28"/>
  <c r="G79" i="28"/>
  <c r="K78" i="28"/>
  <c r="I78" i="28"/>
  <c r="G78" i="28"/>
  <c r="L73" i="28" l="1"/>
  <c r="L83" i="28"/>
  <c r="L82" i="28"/>
  <c r="L81" i="28"/>
  <c r="L80" i="28"/>
  <c r="L79" i="28"/>
  <c r="L78" i="28"/>
  <c r="K85" i="28"/>
  <c r="I85" i="28"/>
  <c r="G85" i="28"/>
  <c r="K84" i="28"/>
  <c r="I84" i="28"/>
  <c r="G84" i="28"/>
  <c r="K86" i="28"/>
  <c r="I86" i="28"/>
  <c r="G86" i="28"/>
  <c r="K72" i="29"/>
  <c r="I72" i="29"/>
  <c r="G72" i="29"/>
  <c r="K71" i="29"/>
  <c r="I71" i="29"/>
  <c r="G71" i="29"/>
  <c r="K70" i="29"/>
  <c r="I70" i="29"/>
  <c r="G70" i="29"/>
  <c r="K69" i="29"/>
  <c r="I69" i="29"/>
  <c r="G69" i="29"/>
  <c r="K68" i="29"/>
  <c r="I68" i="29"/>
  <c r="G68" i="29"/>
  <c r="K67" i="29"/>
  <c r="I67" i="29"/>
  <c r="G67" i="29"/>
  <c r="K66" i="29"/>
  <c r="I66" i="29"/>
  <c r="G66" i="29"/>
  <c r="K65" i="29"/>
  <c r="I65" i="29"/>
  <c r="G65" i="29"/>
  <c r="K64" i="29"/>
  <c r="I64" i="29"/>
  <c r="G64" i="29"/>
  <c r="K63" i="29"/>
  <c r="I63" i="29"/>
  <c r="G63" i="29"/>
  <c r="K61" i="29"/>
  <c r="I61" i="29"/>
  <c r="G61" i="29"/>
  <c r="K60" i="29"/>
  <c r="I60" i="29"/>
  <c r="G60" i="29"/>
  <c r="K59" i="29"/>
  <c r="I59" i="29"/>
  <c r="G59" i="29"/>
  <c r="K58" i="29"/>
  <c r="I58" i="29"/>
  <c r="G58" i="29"/>
  <c r="K57" i="29"/>
  <c r="I57" i="29"/>
  <c r="G57" i="29"/>
  <c r="K56" i="29"/>
  <c r="I56" i="29"/>
  <c r="G56" i="29"/>
  <c r="L56" i="29" s="1"/>
  <c r="K55" i="29"/>
  <c r="I55" i="29"/>
  <c r="G55" i="29"/>
  <c r="K54" i="29"/>
  <c r="I54" i="29"/>
  <c r="G54" i="29"/>
  <c r="E53" i="29"/>
  <c r="K53" i="29" s="1"/>
  <c r="E52" i="29"/>
  <c r="K52" i="29" s="1"/>
  <c r="E51" i="29"/>
  <c r="I51" i="29" s="1"/>
  <c r="E50" i="29"/>
  <c r="K50" i="29" s="1"/>
  <c r="K49" i="29"/>
  <c r="I49" i="29"/>
  <c r="G49" i="29"/>
  <c r="E48" i="29"/>
  <c r="K48" i="29" s="1"/>
  <c r="K47" i="29"/>
  <c r="I47" i="29"/>
  <c r="G47" i="29"/>
  <c r="K46" i="29"/>
  <c r="I46" i="29"/>
  <c r="G46" i="29"/>
  <c r="E45" i="29"/>
  <c r="K45" i="29" s="1"/>
  <c r="E44" i="29"/>
  <c r="G44" i="29" s="1"/>
  <c r="E43" i="29"/>
  <c r="K43" i="29" s="1"/>
  <c r="E42" i="29"/>
  <c r="K42" i="29" s="1"/>
  <c r="K41" i="29"/>
  <c r="I41" i="29"/>
  <c r="G41" i="29"/>
  <c r="K40" i="29"/>
  <c r="I40" i="29"/>
  <c r="G40" i="29"/>
  <c r="K39" i="29"/>
  <c r="I39" i="29"/>
  <c r="G39" i="29"/>
  <c r="K38" i="29"/>
  <c r="I38" i="29"/>
  <c r="G38" i="29"/>
  <c r="K37" i="29"/>
  <c r="I37" i="29"/>
  <c r="G37" i="29"/>
  <c r="K36" i="29"/>
  <c r="I36" i="29"/>
  <c r="G36" i="29"/>
  <c r="K35" i="29"/>
  <c r="I35" i="29"/>
  <c r="G35" i="29"/>
  <c r="E34" i="29"/>
  <c r="K34" i="29" s="1"/>
  <c r="E33" i="29"/>
  <c r="G33" i="29" s="1"/>
  <c r="E32" i="29"/>
  <c r="K32" i="29" s="1"/>
  <c r="K31" i="29"/>
  <c r="I31" i="29"/>
  <c r="G31" i="29"/>
  <c r="E30" i="29"/>
  <c r="K30" i="29" s="1"/>
  <c r="E29" i="29"/>
  <c r="G29" i="29" s="1"/>
  <c r="E28" i="29"/>
  <c r="G28" i="29" s="1"/>
  <c r="K27" i="29"/>
  <c r="I27" i="29"/>
  <c r="G27" i="29"/>
  <c r="K26" i="29"/>
  <c r="I26" i="29"/>
  <c r="G26" i="29"/>
  <c r="K25" i="29"/>
  <c r="I25" i="29"/>
  <c r="G25" i="29"/>
  <c r="K24" i="29"/>
  <c r="I24" i="29"/>
  <c r="G24" i="29"/>
  <c r="K23" i="29"/>
  <c r="I23" i="29"/>
  <c r="G23" i="29"/>
  <c r="K22" i="29"/>
  <c r="I22" i="29"/>
  <c r="G22" i="29"/>
  <c r="K21" i="29"/>
  <c r="I21" i="29"/>
  <c r="G21" i="29"/>
  <c r="K20" i="29"/>
  <c r="I20" i="29"/>
  <c r="G20" i="29"/>
  <c r="K19" i="29"/>
  <c r="I19" i="29"/>
  <c r="G19" i="29"/>
  <c r="K17" i="29"/>
  <c r="I17" i="29"/>
  <c r="G17" i="29"/>
  <c r="K16" i="29"/>
  <c r="I16" i="29"/>
  <c r="G16" i="29"/>
  <c r="K15" i="29"/>
  <c r="I15" i="29"/>
  <c r="G15" i="29"/>
  <c r="K14" i="29"/>
  <c r="I14" i="29"/>
  <c r="G14" i="29"/>
  <c r="K13" i="29"/>
  <c r="I13" i="29"/>
  <c r="G13" i="29"/>
  <c r="K12" i="29"/>
  <c r="I12" i="29"/>
  <c r="G12" i="29"/>
  <c r="K11" i="29"/>
  <c r="I11" i="29"/>
  <c r="G11" i="29"/>
  <c r="K10" i="29"/>
  <c r="I10" i="29"/>
  <c r="G10" i="29"/>
  <c r="K9" i="29"/>
  <c r="I9" i="29"/>
  <c r="G9" i="29"/>
  <c r="K8" i="29"/>
  <c r="I8" i="29"/>
  <c r="G8" i="29"/>
  <c r="L55" i="29" l="1"/>
  <c r="L67" i="29"/>
  <c r="L60" i="29"/>
  <c r="L63" i="29"/>
  <c r="L71" i="29"/>
  <c r="L59" i="29"/>
  <c r="K28" i="29"/>
  <c r="I34" i="29"/>
  <c r="G45" i="29"/>
  <c r="I45" i="29"/>
  <c r="I29" i="29"/>
  <c r="K44" i="29"/>
  <c r="L49" i="29"/>
  <c r="I44" i="29"/>
  <c r="G48" i="29"/>
  <c r="I28" i="29"/>
  <c r="L28" i="29" s="1"/>
  <c r="K29" i="29"/>
  <c r="G34" i="29"/>
  <c r="K51" i="29"/>
  <c r="L66" i="29"/>
  <c r="L70" i="29"/>
  <c r="L36" i="29"/>
  <c r="L40" i="29"/>
  <c r="L65" i="29"/>
  <c r="L69" i="29"/>
  <c r="L8" i="29"/>
  <c r="L12" i="29"/>
  <c r="L16" i="29"/>
  <c r="L21" i="29"/>
  <c r="L25" i="29"/>
  <c r="L31" i="29"/>
  <c r="L64" i="29"/>
  <c r="L68" i="29"/>
  <c r="L72" i="29"/>
  <c r="I33" i="29"/>
  <c r="L35" i="29"/>
  <c r="L39" i="29"/>
  <c r="G42" i="29"/>
  <c r="L47" i="29"/>
  <c r="L10" i="29"/>
  <c r="L14" i="29"/>
  <c r="L19" i="29"/>
  <c r="L23" i="29"/>
  <c r="L27" i="29"/>
  <c r="K33" i="29"/>
  <c r="L38" i="29"/>
  <c r="G51" i="29"/>
  <c r="L51" i="29" s="1"/>
  <c r="G52" i="29"/>
  <c r="L54" i="29"/>
  <c r="L58" i="29"/>
  <c r="E62" i="29"/>
  <c r="K62" i="29" s="1"/>
  <c r="L11" i="29"/>
  <c r="L15" i="29"/>
  <c r="L20" i="29"/>
  <c r="L24" i="29"/>
  <c r="G53" i="29"/>
  <c r="L13" i="29"/>
  <c r="L17" i="29"/>
  <c r="L22" i="29"/>
  <c r="L26" i="29"/>
  <c r="L37" i="29"/>
  <c r="L41" i="29"/>
  <c r="L46" i="29"/>
  <c r="I52" i="29"/>
  <c r="L57" i="29"/>
  <c r="L61" i="29"/>
  <c r="L84" i="28"/>
  <c r="L85" i="28"/>
  <c r="L86" i="28"/>
  <c r="I30" i="29"/>
  <c r="G32" i="29"/>
  <c r="I42" i="29"/>
  <c r="G43" i="29"/>
  <c r="I48" i="29"/>
  <c r="G50" i="29"/>
  <c r="I53" i="29"/>
  <c r="L9" i="29"/>
  <c r="G30" i="29"/>
  <c r="I32" i="29"/>
  <c r="I43" i="29"/>
  <c r="I50" i="29"/>
  <c r="L45" i="29" l="1"/>
  <c r="L48" i="29"/>
  <c r="L34" i="29"/>
  <c r="L44" i="29"/>
  <c r="G62" i="29"/>
  <c r="G73" i="29" s="1"/>
  <c r="L33" i="29"/>
  <c r="L29" i="29"/>
  <c r="L32" i="29"/>
  <c r="L43" i="29"/>
  <c r="L53" i="29"/>
  <c r="L42" i="29"/>
  <c r="L50" i="29"/>
  <c r="L52" i="29"/>
  <c r="K73" i="29"/>
  <c r="I62" i="29"/>
  <c r="L30" i="29"/>
  <c r="L62" i="29" l="1"/>
  <c r="L73" i="29"/>
  <c r="L74" i="29" s="1"/>
  <c r="L75" i="29" s="1"/>
  <c r="L76" i="29" s="1"/>
  <c r="I73" i="29"/>
  <c r="L81" i="29" s="1"/>
  <c r="L77" i="29" l="1"/>
  <c r="L78" i="29" s="1"/>
  <c r="L79" i="29" s="1"/>
  <c r="L80" i="29" s="1"/>
  <c r="L82" i="29" s="1"/>
  <c r="L83" i="29" s="1"/>
  <c r="L84" i="29" s="1"/>
  <c r="J3" i="29" s="1"/>
  <c r="C9" i="1" s="1"/>
  <c r="K88" i="28" l="1"/>
  <c r="I88" i="28"/>
  <c r="G88" i="28"/>
  <c r="K87" i="28"/>
  <c r="I87" i="28"/>
  <c r="G87" i="28"/>
  <c r="K77" i="28"/>
  <c r="I77" i="28"/>
  <c r="G77" i="28"/>
  <c r="K76" i="28"/>
  <c r="I76" i="28"/>
  <c r="G76" i="28"/>
  <c r="K75" i="28"/>
  <c r="I75" i="28"/>
  <c r="G75" i="28"/>
  <c r="K74" i="28"/>
  <c r="I74" i="28"/>
  <c r="G74" i="28"/>
  <c r="K72" i="28"/>
  <c r="I72" i="28"/>
  <c r="G72" i="28"/>
  <c r="K70" i="28"/>
  <c r="I70" i="28"/>
  <c r="G70" i="28"/>
  <c r="K69" i="28"/>
  <c r="I69" i="28"/>
  <c r="G69" i="28"/>
  <c r="K68" i="28"/>
  <c r="I68" i="28"/>
  <c r="G68" i="28"/>
  <c r="K67" i="28"/>
  <c r="I67" i="28"/>
  <c r="G67" i="28"/>
  <c r="K66" i="28"/>
  <c r="I66" i="28"/>
  <c r="G66" i="28"/>
  <c r="K65" i="28"/>
  <c r="I65" i="28"/>
  <c r="G65" i="28"/>
  <c r="K64" i="28"/>
  <c r="I64" i="28"/>
  <c r="G64" i="28"/>
  <c r="K63" i="28"/>
  <c r="I63" i="28"/>
  <c r="G63" i="28"/>
  <c r="E62" i="28"/>
  <c r="G62" i="28" s="1"/>
  <c r="E61" i="28"/>
  <c r="G61" i="28" s="1"/>
  <c r="E60" i="28"/>
  <c r="I60" i="28" s="1"/>
  <c r="E59" i="28"/>
  <c r="K59" i="28" s="1"/>
  <c r="K58" i="28"/>
  <c r="I58" i="28"/>
  <c r="G58" i="28"/>
  <c r="E57" i="28"/>
  <c r="I57" i="28" s="1"/>
  <c r="K56" i="28"/>
  <c r="I56" i="28"/>
  <c r="G56" i="28"/>
  <c r="K55" i="28"/>
  <c r="I55" i="28"/>
  <c r="G55" i="28"/>
  <c r="E54" i="28"/>
  <c r="G54" i="28" s="1"/>
  <c r="E53" i="28"/>
  <c r="I53" i="28" s="1"/>
  <c r="E52" i="28"/>
  <c r="K52" i="28" s="1"/>
  <c r="E51" i="28"/>
  <c r="I51" i="28" s="1"/>
  <c r="K50" i="28"/>
  <c r="I50" i="28"/>
  <c r="G50" i="28"/>
  <c r="E48" i="28"/>
  <c r="I48" i="28" s="1"/>
  <c r="K47" i="28"/>
  <c r="I47" i="28"/>
  <c r="G47" i="28"/>
  <c r="K46" i="28"/>
  <c r="I46" i="28"/>
  <c r="G46" i="28"/>
  <c r="K45" i="28"/>
  <c r="I45" i="28"/>
  <c r="G45" i="28"/>
  <c r="K44" i="28"/>
  <c r="I44" i="28"/>
  <c r="G44" i="28"/>
  <c r="E43" i="28"/>
  <c r="K43" i="28" s="1"/>
  <c r="E42" i="28"/>
  <c r="K42" i="28" s="1"/>
  <c r="E41" i="28"/>
  <c r="G41" i="28" s="1"/>
  <c r="K40" i="28"/>
  <c r="I40" i="28"/>
  <c r="G40" i="28"/>
  <c r="E39" i="28"/>
  <c r="I39" i="28" s="1"/>
  <c r="K38" i="28"/>
  <c r="I38" i="28"/>
  <c r="G38" i="28"/>
  <c r="E37" i="28"/>
  <c r="K37" i="28" s="1"/>
  <c r="E36" i="28"/>
  <c r="G36" i="28" s="1"/>
  <c r="E35" i="28"/>
  <c r="G35" i="28" s="1"/>
  <c r="K34" i="28"/>
  <c r="I34" i="28"/>
  <c r="G34" i="28"/>
  <c r="K33" i="28"/>
  <c r="I33" i="28"/>
  <c r="G33" i="28"/>
  <c r="K32" i="28"/>
  <c r="I32" i="28"/>
  <c r="G32" i="28"/>
  <c r="K31" i="28"/>
  <c r="I31" i="28"/>
  <c r="G31" i="28"/>
  <c r="K30" i="28"/>
  <c r="I30" i="28"/>
  <c r="G30" i="28"/>
  <c r="K29" i="28"/>
  <c r="I29" i="28"/>
  <c r="G29" i="28"/>
  <c r="K28" i="28"/>
  <c r="I28" i="28"/>
  <c r="G28" i="28"/>
  <c r="K27" i="28"/>
  <c r="I27" i="28"/>
  <c r="G27" i="28"/>
  <c r="K26" i="28"/>
  <c r="I26" i="28"/>
  <c r="G26" i="28"/>
  <c r="E25" i="28"/>
  <c r="I25" i="28" s="1"/>
  <c r="K24" i="28"/>
  <c r="I24" i="28"/>
  <c r="G24" i="28"/>
  <c r="K23" i="28"/>
  <c r="I23" i="28"/>
  <c r="G23" i="28"/>
  <c r="K22" i="28"/>
  <c r="I22" i="28"/>
  <c r="G22" i="28"/>
  <c r="E21" i="28"/>
  <c r="K21" i="28" s="1"/>
  <c r="K20" i="28"/>
  <c r="I20" i="28"/>
  <c r="G20" i="28"/>
  <c r="K19" i="28"/>
  <c r="I19" i="28"/>
  <c r="G19" i="28"/>
  <c r="K18" i="28"/>
  <c r="I18" i="28"/>
  <c r="G18" i="28"/>
  <c r="K17" i="28"/>
  <c r="I17" i="28"/>
  <c r="G17" i="28"/>
  <c r="K16" i="28"/>
  <c r="I16" i="28"/>
  <c r="G16" i="28"/>
  <c r="K15" i="28"/>
  <c r="I15" i="28"/>
  <c r="G15" i="28"/>
  <c r="K14" i="28"/>
  <c r="I14" i="28"/>
  <c r="G14" i="28"/>
  <c r="K13" i="28"/>
  <c r="I13" i="28"/>
  <c r="G13" i="28"/>
  <c r="K12" i="28"/>
  <c r="I12" i="28"/>
  <c r="G12" i="28"/>
  <c r="K11" i="28"/>
  <c r="I11" i="28"/>
  <c r="G11" i="28"/>
  <c r="K10" i="28"/>
  <c r="I10" i="28"/>
  <c r="G10" i="28"/>
  <c r="K9" i="28"/>
  <c r="I9" i="28"/>
  <c r="G9" i="28"/>
  <c r="K8" i="28"/>
  <c r="I8" i="28"/>
  <c r="G8" i="28"/>
  <c r="K36" i="28" l="1"/>
  <c r="K62" i="28"/>
  <c r="L76" i="28"/>
  <c r="L87" i="28"/>
  <c r="L23" i="28"/>
  <c r="I61" i="28"/>
  <c r="K61" i="28"/>
  <c r="I36" i="28"/>
  <c r="L47" i="28"/>
  <c r="L50" i="28"/>
  <c r="L8" i="28"/>
  <c r="L12" i="28"/>
  <c r="L16" i="28"/>
  <c r="L20" i="28"/>
  <c r="L22" i="28"/>
  <c r="L28" i="28"/>
  <c r="L32" i="28"/>
  <c r="I35" i="28"/>
  <c r="L38" i="28"/>
  <c r="G42" i="28"/>
  <c r="L46" i="28"/>
  <c r="K57" i="28"/>
  <c r="L75" i="28"/>
  <c r="K35" i="28"/>
  <c r="I42" i="28"/>
  <c r="L45" i="28"/>
  <c r="K51" i="28"/>
  <c r="L24" i="28"/>
  <c r="K39" i="28"/>
  <c r="L44" i="28"/>
  <c r="L56" i="28"/>
  <c r="I62" i="28"/>
  <c r="L63" i="28"/>
  <c r="L67" i="28"/>
  <c r="L72" i="28"/>
  <c r="L88" i="28"/>
  <c r="L11" i="28"/>
  <c r="L15" i="28"/>
  <c r="L19" i="28"/>
  <c r="L27" i="28"/>
  <c r="L31" i="28"/>
  <c r="I41" i="28"/>
  <c r="K48" i="28"/>
  <c r="I54" i="28"/>
  <c r="L55" i="28"/>
  <c r="L66" i="28"/>
  <c r="L70" i="28"/>
  <c r="L74" i="28"/>
  <c r="L10" i="28"/>
  <c r="L14" i="28"/>
  <c r="L18" i="28"/>
  <c r="L26" i="28"/>
  <c r="L30" i="28"/>
  <c r="L34" i="28"/>
  <c r="K41" i="28"/>
  <c r="G51" i="28"/>
  <c r="K54" i="28"/>
  <c r="G57" i="28"/>
  <c r="K60" i="28"/>
  <c r="L65" i="28"/>
  <c r="L69" i="28"/>
  <c r="E71" i="28"/>
  <c r="K71" i="28" s="1"/>
  <c r="L13" i="28"/>
  <c r="L17" i="28"/>
  <c r="K25" i="28"/>
  <c r="L29" i="28"/>
  <c r="L33" i="28"/>
  <c r="L40" i="28"/>
  <c r="K53" i="28"/>
  <c r="L58" i="28"/>
  <c r="L64" i="28"/>
  <c r="L68" i="28"/>
  <c r="L77" i="28"/>
  <c r="G21" i="28"/>
  <c r="G52" i="28"/>
  <c r="I21" i="28"/>
  <c r="G25" i="28"/>
  <c r="I37" i="28"/>
  <c r="G39" i="28"/>
  <c r="I43" i="28"/>
  <c r="G48" i="28"/>
  <c r="E49" i="28"/>
  <c r="I52" i="28"/>
  <c r="G53" i="28"/>
  <c r="I59" i="28"/>
  <c r="G60" i="28"/>
  <c r="G37" i="28"/>
  <c r="G43" i="28"/>
  <c r="G59" i="28"/>
  <c r="L9" i="28"/>
  <c r="L62" i="28" l="1"/>
  <c r="G71" i="28"/>
  <c r="I71" i="28"/>
  <c r="L71" i="28" s="1"/>
  <c r="L52" i="28"/>
  <c r="L36" i="28"/>
  <c r="L41" i="28"/>
  <c r="L61" i="28"/>
  <c r="L54" i="28"/>
  <c r="L51" i="28"/>
  <c r="L42" i="28"/>
  <c r="L39" i="28"/>
  <c r="L35" i="28"/>
  <c r="L53" i="28"/>
  <c r="L57" i="28"/>
  <c r="L60" i="28"/>
  <c r="L37" i="28"/>
  <c r="L43" i="28"/>
  <c r="L59" i="28"/>
  <c r="L48" i="28"/>
  <c r="L25" i="28"/>
  <c r="G49" i="28"/>
  <c r="K49" i="28"/>
  <c r="I49" i="28"/>
  <c r="I89" i="28" s="1"/>
  <c r="L97" i="28" s="1"/>
  <c r="L21" i="28"/>
  <c r="G89" i="28" l="1"/>
  <c r="L49" i="28"/>
  <c r="L89" i="28" s="1"/>
  <c r="L90" i="28" s="1"/>
  <c r="L91" i="28" s="1"/>
  <c r="K89" i="28"/>
  <c r="L92" i="28" l="1"/>
  <c r="L93" i="28" s="1"/>
  <c r="L94" i="28" l="1"/>
  <c r="L95" i="28" s="1"/>
  <c r="L96" i="28" s="1"/>
  <c r="L98" i="28" s="1"/>
  <c r="L99" i="28" s="1"/>
  <c r="L100" i="28" s="1"/>
  <c r="J3" i="28" s="1"/>
  <c r="C11" i="1" s="1" a="1"/>
  <c r="C11" i="1" s="1"/>
  <c r="K63" i="27" l="1"/>
  <c r="I63" i="27"/>
  <c r="G63" i="27"/>
  <c r="E30" i="27"/>
  <c r="K30" i="27" s="1"/>
  <c r="E18" i="18"/>
  <c r="G18" i="18" s="1"/>
  <c r="K79" i="27"/>
  <c r="I79" i="27"/>
  <c r="G79" i="27"/>
  <c r="K78" i="27"/>
  <c r="I78" i="27"/>
  <c r="G78" i="27"/>
  <c r="K77" i="27"/>
  <c r="I77" i="27"/>
  <c r="G77" i="27"/>
  <c r="K76" i="27"/>
  <c r="I76" i="27"/>
  <c r="G76" i="27"/>
  <c r="K75" i="27"/>
  <c r="I75" i="27"/>
  <c r="G75" i="27"/>
  <c r="K74" i="27"/>
  <c r="I74" i="27"/>
  <c r="G74" i="27"/>
  <c r="K73" i="27"/>
  <c r="I73" i="27"/>
  <c r="G73" i="27"/>
  <c r="K72" i="27"/>
  <c r="I72" i="27"/>
  <c r="G72" i="27"/>
  <c r="K71" i="27"/>
  <c r="I71" i="27"/>
  <c r="G71" i="27"/>
  <c r="K69" i="27"/>
  <c r="I69" i="27"/>
  <c r="G69" i="27"/>
  <c r="K68" i="27"/>
  <c r="I68" i="27"/>
  <c r="G68" i="27"/>
  <c r="K67" i="27"/>
  <c r="I67" i="27"/>
  <c r="G67" i="27"/>
  <c r="K66" i="27"/>
  <c r="I66" i="27"/>
  <c r="G66" i="27"/>
  <c r="K65" i="27"/>
  <c r="I65" i="27"/>
  <c r="G65" i="27"/>
  <c r="K64" i="27"/>
  <c r="I64" i="27"/>
  <c r="G64" i="27"/>
  <c r="K62" i="27"/>
  <c r="I62" i="27"/>
  <c r="G62" i="27"/>
  <c r="K61" i="27"/>
  <c r="I61" i="27"/>
  <c r="G61" i="27"/>
  <c r="E60" i="27"/>
  <c r="I60" i="27" s="1"/>
  <c r="E59" i="27"/>
  <c r="G59" i="27" s="1"/>
  <c r="E58" i="27"/>
  <c r="I58" i="27" s="1"/>
  <c r="E57" i="27"/>
  <c r="K57" i="27" s="1"/>
  <c r="K56" i="27"/>
  <c r="I56" i="27"/>
  <c r="G56" i="27"/>
  <c r="E55" i="27"/>
  <c r="I55" i="27" s="1"/>
  <c r="K54" i="27"/>
  <c r="I54" i="27"/>
  <c r="G54" i="27"/>
  <c r="K53" i="27"/>
  <c r="I53" i="27"/>
  <c r="G53" i="27"/>
  <c r="E52" i="27"/>
  <c r="G52" i="27" s="1"/>
  <c r="E51" i="27"/>
  <c r="I51" i="27" s="1"/>
  <c r="E50" i="27"/>
  <c r="K50" i="27" s="1"/>
  <c r="E49" i="27"/>
  <c r="I49" i="27" s="1"/>
  <c r="K48" i="27"/>
  <c r="I48" i="27"/>
  <c r="G48" i="27"/>
  <c r="K47" i="27"/>
  <c r="I47" i="27"/>
  <c r="G47" i="27"/>
  <c r="K46" i="27"/>
  <c r="I46" i="27"/>
  <c r="G46" i="27"/>
  <c r="K45" i="27"/>
  <c r="I45" i="27"/>
  <c r="G45" i="27"/>
  <c r="K44" i="27"/>
  <c r="I44" i="27"/>
  <c r="G44" i="27"/>
  <c r="K43" i="27"/>
  <c r="I43" i="27"/>
  <c r="G43" i="27"/>
  <c r="K42" i="27"/>
  <c r="I42" i="27"/>
  <c r="G42" i="27"/>
  <c r="E41" i="27"/>
  <c r="G41" i="27" s="1"/>
  <c r="E40" i="27"/>
  <c r="I40" i="27" s="1"/>
  <c r="E39" i="27"/>
  <c r="K39" i="27" s="1"/>
  <c r="K38" i="27"/>
  <c r="I38" i="27"/>
  <c r="G38" i="27"/>
  <c r="E37" i="27"/>
  <c r="K37" i="27" s="1"/>
  <c r="K36" i="27"/>
  <c r="I36" i="27"/>
  <c r="G36" i="27"/>
  <c r="E35" i="27"/>
  <c r="G35" i="27" s="1"/>
  <c r="E34" i="27"/>
  <c r="I34" i="27" s="1"/>
  <c r="E33" i="27"/>
  <c r="K33" i="27" s="1"/>
  <c r="K32" i="27"/>
  <c r="I32" i="27"/>
  <c r="G32" i="27"/>
  <c r="K28" i="27"/>
  <c r="I28" i="27"/>
  <c r="G28" i="27"/>
  <c r="K27" i="27"/>
  <c r="I27" i="27"/>
  <c r="G27" i="27"/>
  <c r="E26" i="27"/>
  <c r="E29" i="27" s="1"/>
  <c r="K25" i="27"/>
  <c r="I25" i="27"/>
  <c r="G25" i="27"/>
  <c r="K24" i="27"/>
  <c r="I24" i="27"/>
  <c r="G24" i="27"/>
  <c r="K23" i="27"/>
  <c r="I23" i="27"/>
  <c r="G23" i="27"/>
  <c r="K22" i="27"/>
  <c r="I22" i="27"/>
  <c r="G22" i="27"/>
  <c r="E21" i="27"/>
  <c r="K21" i="27" s="1"/>
  <c r="K20" i="27"/>
  <c r="I20" i="27"/>
  <c r="G20" i="27"/>
  <c r="K19" i="27"/>
  <c r="I19" i="27"/>
  <c r="G19" i="27"/>
  <c r="K18" i="27"/>
  <c r="I18" i="27"/>
  <c r="G18" i="27"/>
  <c r="K17" i="27"/>
  <c r="I17" i="27"/>
  <c r="G17" i="27"/>
  <c r="K16" i="27"/>
  <c r="I16" i="27"/>
  <c r="G16" i="27"/>
  <c r="K15" i="27"/>
  <c r="I15" i="27"/>
  <c r="G15" i="27"/>
  <c r="K14" i="27"/>
  <c r="I14" i="27"/>
  <c r="G14" i="27"/>
  <c r="K13" i="27"/>
  <c r="I13" i="27"/>
  <c r="G13" i="27"/>
  <c r="K12" i="27"/>
  <c r="I12" i="27"/>
  <c r="G12" i="27"/>
  <c r="K11" i="27"/>
  <c r="I11" i="27"/>
  <c r="G11" i="27"/>
  <c r="K10" i="27"/>
  <c r="I10" i="27"/>
  <c r="G10" i="27"/>
  <c r="K9" i="27"/>
  <c r="I9" i="27"/>
  <c r="G9" i="27"/>
  <c r="K8" i="27"/>
  <c r="I8" i="27"/>
  <c r="G8" i="27"/>
  <c r="K35" i="27" l="1"/>
  <c r="G49" i="27"/>
  <c r="L63" i="27"/>
  <c r="I30" i="27"/>
  <c r="G29" i="27"/>
  <c r="I29" i="27"/>
  <c r="K29" i="27"/>
  <c r="G51" i="27"/>
  <c r="L72" i="27"/>
  <c r="L76" i="27"/>
  <c r="E31" i="27"/>
  <c r="G30" i="27"/>
  <c r="L42" i="27"/>
  <c r="L46" i="27"/>
  <c r="K51" i="27"/>
  <c r="I35" i="27"/>
  <c r="L36" i="27"/>
  <c r="I41" i="27"/>
  <c r="K55" i="27"/>
  <c r="K60" i="27"/>
  <c r="L28" i="27"/>
  <c r="K41" i="27"/>
  <c r="L41" i="27" s="1"/>
  <c r="K49" i="27"/>
  <c r="L71" i="27"/>
  <c r="L75" i="27"/>
  <c r="L79" i="27"/>
  <c r="L11" i="27"/>
  <c r="L15" i="27"/>
  <c r="L19" i="27"/>
  <c r="L65" i="27"/>
  <c r="L69" i="27"/>
  <c r="L74" i="27"/>
  <c r="L78" i="27"/>
  <c r="L24" i="27"/>
  <c r="L54" i="27"/>
  <c r="L73" i="27"/>
  <c r="L77" i="27"/>
  <c r="L38" i="27"/>
  <c r="L45" i="27"/>
  <c r="L48" i="27"/>
  <c r="L53" i="27"/>
  <c r="I59" i="27"/>
  <c r="L64" i="27"/>
  <c r="L68" i="27"/>
  <c r="E70" i="27"/>
  <c r="K70" i="27" s="1"/>
  <c r="L10" i="27"/>
  <c r="L18" i="27"/>
  <c r="L23" i="27"/>
  <c r="K34" i="27"/>
  <c r="K40" i="27"/>
  <c r="L13" i="27"/>
  <c r="L17" i="27"/>
  <c r="I21" i="27"/>
  <c r="G37" i="27"/>
  <c r="L44" i="27"/>
  <c r="G58" i="27"/>
  <c r="L62" i="27"/>
  <c r="L67" i="27"/>
  <c r="L14" i="27"/>
  <c r="G21" i="27"/>
  <c r="L32" i="27"/>
  <c r="L8" i="27"/>
  <c r="L12" i="27"/>
  <c r="L16" i="27"/>
  <c r="L20" i="27"/>
  <c r="L25" i="27"/>
  <c r="I37" i="27"/>
  <c r="L43" i="27"/>
  <c r="L47" i="27"/>
  <c r="I52" i="27"/>
  <c r="G55" i="27"/>
  <c r="L56" i="27"/>
  <c r="K58" i="27"/>
  <c r="G60" i="27"/>
  <c r="L61" i="27"/>
  <c r="L66" i="27"/>
  <c r="L27" i="27"/>
  <c r="L22" i="27"/>
  <c r="K18" i="18"/>
  <c r="I18" i="18"/>
  <c r="G26" i="27"/>
  <c r="G33" i="27"/>
  <c r="G39" i="27"/>
  <c r="G50" i="27"/>
  <c r="K52" i="27"/>
  <c r="G57" i="27"/>
  <c r="K59" i="27"/>
  <c r="L9" i="27"/>
  <c r="I26" i="27"/>
  <c r="I33" i="27"/>
  <c r="G34" i="27"/>
  <c r="I39" i="27"/>
  <c r="G40" i="27"/>
  <c r="I50" i="27"/>
  <c r="I57" i="27"/>
  <c r="K26" i="27"/>
  <c r="I70" i="27" l="1"/>
  <c r="L35" i="27"/>
  <c r="L59" i="27"/>
  <c r="L49" i="27"/>
  <c r="L30" i="27"/>
  <c r="L34" i="27"/>
  <c r="L60" i="27"/>
  <c r="L51" i="27"/>
  <c r="L58" i="27"/>
  <c r="G70" i="27"/>
  <c r="L37" i="27"/>
  <c r="L39" i="27"/>
  <c r="L40" i="27"/>
  <c r="L55" i="27"/>
  <c r="L29" i="27"/>
  <c r="I31" i="27"/>
  <c r="K31" i="27"/>
  <c r="G31" i="27"/>
  <c r="G80" i="27" s="1"/>
  <c r="L50" i="27"/>
  <c r="L33" i="27"/>
  <c r="L21" i="27"/>
  <c r="L70" i="27"/>
  <c r="L52" i="27"/>
  <c r="L57" i="27"/>
  <c r="L18" i="18"/>
  <c r="L26" i="27"/>
  <c r="I80" i="27" l="1"/>
  <c r="L88" i="27" s="1"/>
  <c r="L31" i="27"/>
  <c r="L80" i="27" s="1"/>
  <c r="L81" i="27" s="1"/>
  <c r="L82" i="27" s="1"/>
  <c r="L83" i="27" s="1"/>
  <c r="L84" i="27" s="1"/>
  <c r="K80" i="27"/>
  <c r="L85" i="27" l="1"/>
  <c r="L86" i="27" s="1"/>
  <c r="L87" i="27" s="1"/>
  <c r="L89" i="27" s="1"/>
  <c r="L90" i="27" s="1"/>
  <c r="L91" i="27" s="1"/>
  <c r="J3" i="27" s="1"/>
  <c r="C10" i="1" s="1"/>
  <c r="K42" i="18" l="1"/>
  <c r="I42" i="18"/>
  <c r="G42" i="18"/>
  <c r="L42" i="18" l="1"/>
  <c r="K9" i="18" l="1"/>
  <c r="K10" i="18"/>
  <c r="K13" i="18"/>
  <c r="K14" i="18"/>
  <c r="K20" i="18"/>
  <c r="K24" i="18"/>
  <c r="K28" i="18"/>
  <c r="K33" i="18"/>
  <c r="K34" i="18"/>
  <c r="K36" i="18"/>
  <c r="K37" i="18"/>
  <c r="K38" i="18"/>
  <c r="K39" i="18"/>
  <c r="K41" i="18"/>
  <c r="K43" i="18"/>
  <c r="K44" i="18"/>
  <c r="I9" i="18"/>
  <c r="I10" i="18"/>
  <c r="I13" i="18"/>
  <c r="I14" i="18"/>
  <c r="I20" i="18"/>
  <c r="I24" i="18"/>
  <c r="I28" i="18"/>
  <c r="I33" i="18"/>
  <c r="I34" i="18"/>
  <c r="I37" i="18"/>
  <c r="I38" i="18"/>
  <c r="I39" i="18"/>
  <c r="I41" i="18"/>
  <c r="I44" i="18"/>
  <c r="G9" i="18"/>
  <c r="G10" i="18"/>
  <c r="G13" i="18"/>
  <c r="G14" i="18"/>
  <c r="G20" i="18"/>
  <c r="G24" i="18"/>
  <c r="G28" i="18"/>
  <c r="G33" i="18"/>
  <c r="G34" i="18"/>
  <c r="G36" i="18"/>
  <c r="G37" i="18"/>
  <c r="G38" i="18"/>
  <c r="G39" i="18"/>
  <c r="G41" i="18"/>
  <c r="G43" i="18"/>
  <c r="G44" i="18"/>
  <c r="I43" i="18"/>
  <c r="L44" i="18" l="1"/>
  <c r="L41" i="18"/>
  <c r="L43" i="18"/>
  <c r="L39" i="18"/>
  <c r="L10" i="18"/>
  <c r="L33" i="18"/>
  <c r="L9" i="18"/>
  <c r="L38" i="18"/>
  <c r="L13" i="18"/>
  <c r="L37" i="18"/>
  <c r="L36" i="18"/>
  <c r="L34" i="18"/>
  <c r="L28" i="18"/>
  <c r="L24" i="18"/>
  <c r="L20" i="18"/>
  <c r="L14" i="18"/>
  <c r="E30" i="18" l="1"/>
  <c r="E29" i="18"/>
  <c r="E27" i="18"/>
  <c r="E26" i="18"/>
  <c r="E25" i="18"/>
  <c r="E23" i="18"/>
  <c r="E22" i="18"/>
  <c r="E21" i="18"/>
  <c r="E17" i="18"/>
  <c r="E15" i="18"/>
  <c r="K25" i="18" l="1"/>
  <c r="G25" i="18"/>
  <c r="I25" i="18"/>
  <c r="K21" i="18"/>
  <c r="I21" i="18"/>
  <c r="G21" i="18"/>
  <c r="K27" i="18"/>
  <c r="G27" i="18"/>
  <c r="I27" i="18"/>
  <c r="I22" i="18"/>
  <c r="G22" i="18"/>
  <c r="K22" i="18"/>
  <c r="K29" i="18"/>
  <c r="G29" i="18"/>
  <c r="I29" i="18"/>
  <c r="I17" i="18"/>
  <c r="K17" i="18"/>
  <c r="K26" i="18"/>
  <c r="G26" i="18"/>
  <c r="I26" i="18"/>
  <c r="K23" i="18"/>
  <c r="I23" i="18"/>
  <c r="G23" i="18"/>
  <c r="K30" i="18"/>
  <c r="G30" i="18"/>
  <c r="I30" i="18"/>
  <c r="K15" i="18"/>
  <c r="G15" i="18"/>
  <c r="I15" i="18"/>
  <c r="E40" i="18"/>
  <c r="L27" i="18" l="1"/>
  <c r="L22" i="18"/>
  <c r="L17" i="18"/>
  <c r="L29" i="18"/>
  <c r="L15" i="18"/>
  <c r="L23" i="18"/>
  <c r="I40" i="18"/>
  <c r="K40" i="18"/>
  <c r="G40" i="18"/>
  <c r="L26" i="18"/>
  <c r="L25" i="18"/>
  <c r="L21" i="18"/>
  <c r="L30" i="18"/>
  <c r="K16" i="18"/>
  <c r="I16" i="18"/>
  <c r="G16" i="18"/>
  <c r="L40" i="18" l="1"/>
  <c r="L16" i="18"/>
  <c r="K11" i="18"/>
  <c r="G11" i="18"/>
  <c r="I11" i="18"/>
  <c r="E31" i="18"/>
  <c r="L11" i="18" l="1"/>
  <c r="G31" i="18"/>
  <c r="K31" i="18"/>
  <c r="I31" i="18"/>
  <c r="K12" i="18"/>
  <c r="I12" i="18"/>
  <c r="G12" i="18"/>
  <c r="E35" i="18"/>
  <c r="L12" i="18" l="1"/>
  <c r="I35" i="18"/>
  <c r="K35" i="18"/>
  <c r="G35" i="18"/>
  <c r="K19" i="18"/>
  <c r="G19" i="18"/>
  <c r="I19" i="18"/>
  <c r="L31" i="18"/>
  <c r="D14" i="16"/>
  <c r="D12" i="16"/>
  <c r="D11" i="16"/>
  <c r="J10" i="16"/>
  <c r="H10" i="16"/>
  <c r="F10" i="16"/>
  <c r="L35" i="18" l="1"/>
  <c r="L19" i="18"/>
  <c r="K10" i="16"/>
  <c r="J14" i="16"/>
  <c r="D34" i="16"/>
  <c r="J34" i="16" s="1"/>
  <c r="D33" i="16"/>
  <c r="F33" i="16" s="1"/>
  <c r="J32" i="16"/>
  <c r="H32" i="16"/>
  <c r="F32" i="16"/>
  <c r="D31" i="16"/>
  <c r="H31" i="16" s="1"/>
  <c r="D30" i="16"/>
  <c r="J30" i="16" s="1"/>
  <c r="D29" i="16"/>
  <c r="J29" i="16" s="1"/>
  <c r="D28" i="16"/>
  <c r="F28" i="16" s="1"/>
  <c r="J27" i="16"/>
  <c r="H27" i="16"/>
  <c r="F27" i="16"/>
  <c r="D16" i="16"/>
  <c r="H16" i="16" s="1"/>
  <c r="J15" i="16"/>
  <c r="H15" i="16"/>
  <c r="F15" i="16"/>
  <c r="D13" i="16"/>
  <c r="J13" i="16" s="1"/>
  <c r="F12" i="16"/>
  <c r="H11" i="16"/>
  <c r="J9" i="16"/>
  <c r="H9" i="16"/>
  <c r="F9" i="16"/>
  <c r="D66" i="16"/>
  <c r="H66" i="16" s="1"/>
  <c r="D65" i="16"/>
  <c r="F65" i="16" s="1"/>
  <c r="J64" i="16"/>
  <c r="H64" i="16"/>
  <c r="F64" i="16"/>
  <c r="D63" i="16"/>
  <c r="H63" i="16" s="1"/>
  <c r="D62" i="16"/>
  <c r="J62" i="16" s="1"/>
  <c r="D61" i="16"/>
  <c r="J61" i="16" s="1"/>
  <c r="D60" i="16"/>
  <c r="F60" i="16" s="1"/>
  <c r="J59" i="16"/>
  <c r="H59" i="16"/>
  <c r="F59" i="16"/>
  <c r="D58" i="16"/>
  <c r="H58" i="16" s="1"/>
  <c r="J57" i="16"/>
  <c r="H57" i="16"/>
  <c r="F57" i="16"/>
  <c r="D56" i="16"/>
  <c r="J56" i="16" s="1"/>
  <c r="D55" i="16"/>
  <c r="J55" i="16" s="1"/>
  <c r="D54" i="16"/>
  <c r="F54" i="16" s="1"/>
  <c r="D53" i="16"/>
  <c r="H53" i="16" s="1"/>
  <c r="D52" i="16"/>
  <c r="J52" i="16" s="1"/>
  <c r="J51" i="16"/>
  <c r="H51" i="16"/>
  <c r="F51" i="16"/>
  <c r="H65" i="16" l="1"/>
  <c r="K15" i="16"/>
  <c r="F55" i="16"/>
  <c r="J53" i="16"/>
  <c r="H55" i="16"/>
  <c r="H12" i="16"/>
  <c r="J66" i="16"/>
  <c r="J12" i="16"/>
  <c r="K32" i="16"/>
  <c r="K57" i="16"/>
  <c r="K51" i="16"/>
  <c r="F29" i="16"/>
  <c r="H29" i="16"/>
  <c r="F13" i="16"/>
  <c r="J16" i="16"/>
  <c r="H13" i="16"/>
  <c r="K59" i="16"/>
  <c r="H28" i="16"/>
  <c r="J31" i="16"/>
  <c r="F34" i="16"/>
  <c r="F58" i="16"/>
  <c r="F61" i="16"/>
  <c r="H54" i="16"/>
  <c r="J58" i="16"/>
  <c r="H61" i="16"/>
  <c r="F63" i="16"/>
  <c r="K64" i="16"/>
  <c r="F66" i="16"/>
  <c r="J11" i="16"/>
  <c r="J28" i="16"/>
  <c r="H33" i="16"/>
  <c r="H34" i="16"/>
  <c r="F53" i="16"/>
  <c r="H60" i="16"/>
  <c r="J63" i="16"/>
  <c r="K9" i="16"/>
  <c r="K27" i="16"/>
  <c r="J33" i="16"/>
  <c r="F14" i="16"/>
  <c r="F30" i="16"/>
  <c r="F11" i="16"/>
  <c r="H14" i="16"/>
  <c r="F16" i="16"/>
  <c r="H30" i="16"/>
  <c r="F31" i="16"/>
  <c r="F52" i="16"/>
  <c r="J54" i="16"/>
  <c r="F56" i="16"/>
  <c r="J60" i="16"/>
  <c r="F62" i="16"/>
  <c r="J65" i="16"/>
  <c r="H52" i="16"/>
  <c r="H56" i="16"/>
  <c r="H62" i="16"/>
  <c r="K65" i="16" l="1"/>
  <c r="K53" i="16"/>
  <c r="K34" i="16"/>
  <c r="K55" i="16"/>
  <c r="K12" i="16"/>
  <c r="K33" i="16"/>
  <c r="K13" i="16"/>
  <c r="K30" i="16"/>
  <c r="K66" i="16"/>
  <c r="K11" i="16"/>
  <c r="K16" i="16"/>
  <c r="K31" i="16"/>
  <c r="K62" i="16"/>
  <c r="K61" i="16"/>
  <c r="K63" i="16"/>
  <c r="K60" i="16"/>
  <c r="K14" i="16"/>
  <c r="K28" i="16"/>
  <c r="K29" i="16"/>
  <c r="K52" i="16"/>
  <c r="K56" i="16"/>
  <c r="K54" i="16"/>
  <c r="K58" i="16"/>
  <c r="D35" i="16" l="1"/>
  <c r="J35" i="16" s="1"/>
  <c r="J10" i="17"/>
  <c r="J13" i="17"/>
  <c r="J14" i="17"/>
  <c r="J21" i="17"/>
  <c r="J23" i="17"/>
  <c r="J27" i="17"/>
  <c r="J28" i="17"/>
  <c r="J29" i="17"/>
  <c r="J31" i="17"/>
  <c r="J33" i="17"/>
  <c r="J34" i="17"/>
  <c r="J37" i="17"/>
  <c r="J39" i="17"/>
  <c r="J40" i="17"/>
  <c r="J41" i="17"/>
  <c r="H10" i="17"/>
  <c r="H13" i="17"/>
  <c r="H14" i="17"/>
  <c r="H21" i="17"/>
  <c r="H23" i="17"/>
  <c r="H27" i="17"/>
  <c r="H28" i="17"/>
  <c r="H29" i="17"/>
  <c r="H31" i="17"/>
  <c r="H33" i="17"/>
  <c r="H34" i="17"/>
  <c r="H37" i="17"/>
  <c r="H39" i="17"/>
  <c r="H40" i="17"/>
  <c r="H41" i="17"/>
  <c r="F10" i="17"/>
  <c r="F13" i="17"/>
  <c r="F14" i="17"/>
  <c r="F21" i="17"/>
  <c r="F23" i="17"/>
  <c r="F27" i="17"/>
  <c r="F28" i="17"/>
  <c r="F29" i="17"/>
  <c r="F31" i="17"/>
  <c r="F33" i="17"/>
  <c r="F34" i="17"/>
  <c r="F37" i="17"/>
  <c r="F39" i="17"/>
  <c r="F40" i="17"/>
  <c r="F41" i="17"/>
  <c r="D26" i="17"/>
  <c r="J26" i="17" s="1"/>
  <c r="D25" i="17"/>
  <c r="J25" i="17" s="1"/>
  <c r="D24" i="17"/>
  <c r="J24" i="17" s="1"/>
  <c r="K40" i="17" l="1"/>
  <c r="K27" i="17"/>
  <c r="K33" i="17"/>
  <c r="K13" i="17"/>
  <c r="K41" i="17"/>
  <c r="K34" i="17"/>
  <c r="K28" i="17"/>
  <c r="K14" i="17"/>
  <c r="K39" i="17"/>
  <c r="K31" i="17"/>
  <c r="K23" i="17"/>
  <c r="K10" i="17"/>
  <c r="K37" i="17"/>
  <c r="K29" i="17"/>
  <c r="K21" i="17"/>
  <c r="F26" i="17"/>
  <c r="H26" i="17"/>
  <c r="F25" i="17"/>
  <c r="H25" i="17"/>
  <c r="K25" i="17" s="1"/>
  <c r="F24" i="17"/>
  <c r="H24" i="17"/>
  <c r="H35" i="16"/>
  <c r="F35" i="16"/>
  <c r="K24" i="17" l="1"/>
  <c r="K26" i="17"/>
  <c r="K35" i="16"/>
  <c r="E32" i="18"/>
  <c r="I32" i="18" l="1"/>
  <c r="K32" i="18"/>
  <c r="G32" i="18"/>
  <c r="D20" i="19"/>
  <c r="H20" i="19" s="1"/>
  <c r="J19" i="19"/>
  <c r="H19" i="19"/>
  <c r="F19" i="19"/>
  <c r="D18" i="19"/>
  <c r="F18" i="19" s="1"/>
  <c r="D17" i="19"/>
  <c r="H17" i="19" s="1"/>
  <c r="J16" i="19"/>
  <c r="H16" i="19"/>
  <c r="F16" i="19"/>
  <c r="D15" i="19"/>
  <c r="J15" i="19" s="1"/>
  <c r="D14" i="19"/>
  <c r="H14" i="19" s="1"/>
  <c r="D13" i="19"/>
  <c r="F13" i="19" s="1"/>
  <c r="D12" i="19"/>
  <c r="H12" i="19" s="1"/>
  <c r="D11" i="19"/>
  <c r="J11" i="19" s="1"/>
  <c r="D10" i="19"/>
  <c r="H10" i="19" s="1"/>
  <c r="J9" i="19"/>
  <c r="H9" i="19"/>
  <c r="F9" i="19"/>
  <c r="J8" i="19"/>
  <c r="H8" i="19"/>
  <c r="F8" i="19"/>
  <c r="D20" i="11"/>
  <c r="J10" i="11"/>
  <c r="J11" i="11"/>
  <c r="J13" i="11"/>
  <c r="J14" i="11"/>
  <c r="J19" i="11"/>
  <c r="J26" i="11"/>
  <c r="J29" i="11"/>
  <c r="J31" i="11"/>
  <c r="H10" i="11"/>
  <c r="H11" i="11"/>
  <c r="H13" i="11"/>
  <c r="H14" i="11"/>
  <c r="H19" i="11"/>
  <c r="H26" i="11"/>
  <c r="H29" i="11"/>
  <c r="H31" i="11"/>
  <c r="F10" i="11"/>
  <c r="F11" i="11"/>
  <c r="K11" i="11" s="1"/>
  <c r="F13" i="11"/>
  <c r="F14" i="11"/>
  <c r="F19" i="11"/>
  <c r="K19" i="11" s="1"/>
  <c r="F26" i="11"/>
  <c r="F29" i="11"/>
  <c r="F31" i="11"/>
  <c r="K31" i="11" s="1"/>
  <c r="D18" i="11"/>
  <c r="J18" i="11" s="1"/>
  <c r="D17" i="11"/>
  <c r="F17" i="11" s="1"/>
  <c r="D16" i="11"/>
  <c r="F16" i="11" s="1"/>
  <c r="D15" i="11"/>
  <c r="H15" i="11" s="1"/>
  <c r="L32" i="18" l="1"/>
  <c r="K16" i="19"/>
  <c r="H13" i="19"/>
  <c r="F10" i="19"/>
  <c r="F12" i="19"/>
  <c r="H18" i="19"/>
  <c r="K9" i="19"/>
  <c r="J10" i="19"/>
  <c r="J12" i="19"/>
  <c r="F14" i="19"/>
  <c r="F17" i="19"/>
  <c r="F20" i="19"/>
  <c r="K8" i="19"/>
  <c r="J14" i="19"/>
  <c r="J17" i="19"/>
  <c r="K19" i="19"/>
  <c r="J20" i="19"/>
  <c r="F11" i="19"/>
  <c r="J13" i="19"/>
  <c r="K13" i="19" s="1"/>
  <c r="F15" i="19"/>
  <c r="J18" i="19"/>
  <c r="H11" i="19"/>
  <c r="H15" i="19"/>
  <c r="J17" i="11"/>
  <c r="F18" i="11"/>
  <c r="J15" i="11"/>
  <c r="F15" i="11"/>
  <c r="K15" i="11" s="1"/>
  <c r="H18" i="11"/>
  <c r="K26" i="11"/>
  <c r="K14" i="11"/>
  <c r="K10" i="11"/>
  <c r="H17" i="11"/>
  <c r="J16" i="11"/>
  <c r="K29" i="11"/>
  <c r="K13" i="11"/>
  <c r="H16" i="11"/>
  <c r="D25" i="11"/>
  <c r="D24" i="11"/>
  <c r="D23" i="11"/>
  <c r="D22" i="11"/>
  <c r="D21" i="11"/>
  <c r="D28" i="11"/>
  <c r="D30" i="11"/>
  <c r="D11" i="17"/>
  <c r="D30" i="17"/>
  <c r="D16" i="17"/>
  <c r="D15" i="17"/>
  <c r="D22" i="17"/>
  <c r="K16" i="11" l="1"/>
  <c r="J11" i="17"/>
  <c r="H11" i="17"/>
  <c r="F11" i="17"/>
  <c r="J22" i="17"/>
  <c r="H22" i="17"/>
  <c r="F22" i="17"/>
  <c r="J15" i="17"/>
  <c r="H15" i="17"/>
  <c r="F15" i="17"/>
  <c r="J16" i="17"/>
  <c r="H16" i="17"/>
  <c r="F16" i="17"/>
  <c r="J30" i="17"/>
  <c r="H30" i="17"/>
  <c r="F30" i="17"/>
  <c r="K18" i="11"/>
  <c r="K12" i="19"/>
  <c r="K10" i="19"/>
  <c r="K14" i="19"/>
  <c r="H21" i="19"/>
  <c r="K29" i="19" s="1"/>
  <c r="K15" i="19"/>
  <c r="F21" i="19"/>
  <c r="K20" i="19"/>
  <c r="K18" i="19"/>
  <c r="K17" i="19"/>
  <c r="K11" i="19"/>
  <c r="J21" i="19"/>
  <c r="K17" i="11"/>
  <c r="F21" i="11"/>
  <c r="H21" i="11"/>
  <c r="J21" i="11"/>
  <c r="J30" i="11"/>
  <c r="F30" i="11"/>
  <c r="H30" i="11"/>
  <c r="F25" i="11"/>
  <c r="H25" i="11"/>
  <c r="J25" i="11"/>
  <c r="J22" i="11"/>
  <c r="F22" i="11"/>
  <c r="H22" i="11"/>
  <c r="F28" i="11"/>
  <c r="H28" i="11"/>
  <c r="J28" i="11"/>
  <c r="H23" i="11"/>
  <c r="J23" i="11"/>
  <c r="F23" i="11"/>
  <c r="F20" i="11"/>
  <c r="H20" i="11"/>
  <c r="J20" i="11"/>
  <c r="F24" i="11"/>
  <c r="H24" i="11"/>
  <c r="J24" i="11"/>
  <c r="K15" i="17" l="1"/>
  <c r="K30" i="17"/>
  <c r="K22" i="17"/>
  <c r="K16" i="17"/>
  <c r="K11" i="17"/>
  <c r="K21" i="19"/>
  <c r="K22" i="19" s="1"/>
  <c r="K23" i="19" s="1"/>
  <c r="K25" i="11"/>
  <c r="K24" i="11"/>
  <c r="K23" i="11"/>
  <c r="K20" i="11"/>
  <c r="K22" i="11"/>
  <c r="K28" i="11"/>
  <c r="K30" i="11"/>
  <c r="K21" i="11"/>
  <c r="K24" i="19" l="1"/>
  <c r="K25" i="19" s="1"/>
  <c r="K26" i="19" s="1"/>
  <c r="K27" i="19" s="1"/>
  <c r="K28" i="19" s="1"/>
  <c r="K30" i="19" s="1"/>
  <c r="K31" i="19" s="1"/>
  <c r="K32" i="19" s="1"/>
  <c r="I4" i="19" s="1"/>
  <c r="H36" i="16" l="1"/>
  <c r="K44" i="16" s="1"/>
  <c r="F36" i="16"/>
  <c r="D32" i="11"/>
  <c r="D27" i="11"/>
  <c r="D12" i="11"/>
  <c r="J9" i="11"/>
  <c r="H9" i="11"/>
  <c r="F9" i="11"/>
  <c r="H27" i="11" l="1"/>
  <c r="J27" i="11"/>
  <c r="F27" i="11"/>
  <c r="F12" i="11"/>
  <c r="H12" i="11"/>
  <c r="J12" i="11"/>
  <c r="F32" i="11"/>
  <c r="H32" i="11"/>
  <c r="J32" i="11"/>
  <c r="K36" i="16"/>
  <c r="K37" i="16" s="1"/>
  <c r="K38" i="16" s="1"/>
  <c r="J36" i="16"/>
  <c r="K9" i="11"/>
  <c r="K12" i="11" l="1"/>
  <c r="K27" i="11"/>
  <c r="K32" i="11"/>
  <c r="K39" i="16"/>
  <c r="K40" i="16" s="1"/>
  <c r="K41" i="16" l="1"/>
  <c r="K42" i="16" s="1"/>
  <c r="K43" i="16" s="1"/>
  <c r="K45" i="16" s="1"/>
  <c r="K46" i="16" s="1"/>
  <c r="K47" i="16" s="1"/>
  <c r="H33" i="11"/>
  <c r="K41" i="11" s="1"/>
  <c r="F33" i="11"/>
  <c r="J33" i="11"/>
  <c r="D38" i="17"/>
  <c r="D36" i="17"/>
  <c r="D35" i="17"/>
  <c r="D32" i="17"/>
  <c r="D20" i="17"/>
  <c r="D19" i="17"/>
  <c r="D18" i="17"/>
  <c r="D17" i="17"/>
  <c r="J9" i="17"/>
  <c r="H9" i="17"/>
  <c r="F9" i="17"/>
  <c r="J36" i="17" l="1"/>
  <c r="H36" i="17"/>
  <c r="F36" i="17"/>
  <c r="J35" i="17"/>
  <c r="H35" i="17"/>
  <c r="F35" i="17"/>
  <c r="J38" i="17"/>
  <c r="H38" i="17"/>
  <c r="F38" i="17"/>
  <c r="J17" i="17"/>
  <c r="H17" i="17"/>
  <c r="F17" i="17"/>
  <c r="J18" i="17"/>
  <c r="H18" i="17"/>
  <c r="F18" i="17"/>
  <c r="J19" i="17"/>
  <c r="F19" i="17"/>
  <c r="H19" i="17"/>
  <c r="J32" i="17"/>
  <c r="H32" i="17"/>
  <c r="F32" i="17"/>
  <c r="J20" i="17"/>
  <c r="H20" i="17"/>
  <c r="F20" i="17"/>
  <c r="I4" i="16"/>
  <c r="K33" i="11"/>
  <c r="K34" i="11" s="1"/>
  <c r="K35" i="11" s="1"/>
  <c r="K36" i="11" s="1"/>
  <c r="D12" i="17"/>
  <c r="K9" i="17"/>
  <c r="K19" i="17" l="1"/>
  <c r="K20" i="17"/>
  <c r="K35" i="17"/>
  <c r="J12" i="17"/>
  <c r="H12" i="17"/>
  <c r="H42" i="17" s="1"/>
  <c r="F12" i="17"/>
  <c r="K18" i="17"/>
  <c r="K17" i="17"/>
  <c r="K38" i="17"/>
  <c r="K32" i="17"/>
  <c r="K36" i="17"/>
  <c r="K37" i="11"/>
  <c r="K38" i="11" s="1"/>
  <c r="K39" i="11" s="1"/>
  <c r="K40" i="11" s="1"/>
  <c r="K42" i="11" s="1"/>
  <c r="K43" i="11" s="1"/>
  <c r="K44" i="11" s="1"/>
  <c r="K12" i="17" l="1"/>
  <c r="I4" i="11"/>
  <c r="F42" i="17"/>
  <c r="K50" i="17"/>
  <c r="J42" i="17"/>
  <c r="K42" i="17" l="1"/>
  <c r="K43" i="17" s="1"/>
  <c r="K44" i="17" s="1"/>
  <c r="K45" i="17" s="1"/>
  <c r="K46" i="17" s="1"/>
  <c r="K47" i="17" l="1"/>
  <c r="K48" i="17" s="1"/>
  <c r="K49" i="17" s="1"/>
  <c r="K51" i="17" s="1"/>
  <c r="K52" i="17" s="1"/>
  <c r="K53" i="17" s="1"/>
  <c r="I4" i="17" l="1"/>
  <c r="G45" i="18"/>
  <c r="K45" i="18"/>
  <c r="I45" i="18"/>
  <c r="L53" i="18" s="1"/>
  <c r="L45" i="18" l="1"/>
  <c r="L46" i="18" s="1"/>
  <c r="L47" i="18" s="1"/>
  <c r="L48" i="18" s="1"/>
  <c r="L49" i="18" s="1"/>
  <c r="L50" i="18" l="1"/>
  <c r="L51" i="18" s="1"/>
  <c r="L52" i="18" s="1"/>
  <c r="L54" i="18" s="1"/>
  <c r="L55" i="18" s="1"/>
  <c r="L56" i="18" s="1"/>
  <c r="J3" i="18" l="1"/>
  <c r="C8" i="1" s="1" a="1"/>
  <c r="C8" i="1" s="1"/>
  <c r="C1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<sst xmlns="http://schemas.openxmlformats.org/spreadsheetml/2006/main" count="954" uniqueCount="210">
  <si>
    <t>სამუშაოების დასახელება</t>
  </si>
  <si>
    <t>განზ</t>
  </si>
  <si>
    <t>რაოდენობა</t>
  </si>
  <si>
    <t>მასალა</t>
  </si>
  <si>
    <t>ხელფასი</t>
  </si>
  <si>
    <t>მანქანა-მექანიზმები</t>
  </si>
  <si>
    <t>ჯამი</t>
  </si>
  <si>
    <t>ერთ ფასი</t>
  </si>
  <si>
    <t>მ²</t>
  </si>
  <si>
    <t>კომპ</t>
  </si>
  <si>
    <t>მ</t>
  </si>
  <si>
    <t>სხვა მასალები</t>
  </si>
  <si>
    <t>ლარი</t>
  </si>
  <si>
    <t>კგ</t>
  </si>
  <si>
    <t>სატრანსპორტო ხარჯი</t>
  </si>
  <si>
    <t>ზედნადები ხარჯი</t>
  </si>
  <si>
    <t>გეგმიური დაგროვება</t>
  </si>
  <si>
    <t xml:space="preserve">დღგ </t>
  </si>
  <si>
    <t>სულ ჯამი</t>
  </si>
  <si>
    <t>გაუთვალისწინებელი ხარჯები</t>
  </si>
  <si>
    <r>
      <rPr>
        <b/>
        <sz val="10"/>
        <color theme="1"/>
        <rFont val="Cambria"/>
        <family val="1"/>
        <charset val="204"/>
      </rPr>
      <t>l</t>
    </r>
    <r>
      <rPr>
        <b/>
        <sz val="10"/>
        <color theme="1"/>
        <rFont val="Sylfaen"/>
        <family val="1"/>
        <charset val="204"/>
      </rPr>
      <t>.   სადემონტაჟო სამუშაოები</t>
    </r>
  </si>
  <si>
    <r>
      <rPr>
        <b/>
        <sz val="10"/>
        <color theme="1"/>
        <rFont val="Cambria"/>
        <family val="1"/>
        <charset val="204"/>
      </rPr>
      <t>ll</t>
    </r>
    <r>
      <rPr>
        <b/>
        <sz val="10"/>
        <color theme="1"/>
        <rFont val="Sylfaen"/>
        <family val="1"/>
        <charset val="204"/>
      </rPr>
      <t>. სამშენებლო-სამონტაჟო სამუშაოები</t>
    </r>
  </si>
  <si>
    <t xml:space="preserve">სახარჯთაღრიცხვო  ღირ-ბა              </t>
  </si>
  <si>
    <t>ტონ</t>
  </si>
  <si>
    <t>სამშენებლო ნარჩენების შეგროვება-დატვირთვა ა/მ-ზე</t>
  </si>
  <si>
    <t>სამშენებლო ნარჩენების ტრანსპორტირება 20 კმ-ზე</t>
  </si>
  <si>
    <t>N</t>
  </si>
  <si>
    <t>ცალ</t>
  </si>
  <si>
    <t>საპენსიო დანარიცხი</t>
  </si>
  <si>
    <t xml:space="preserve">ფითხი   </t>
  </si>
  <si>
    <t xml:space="preserve">ზუმფარა     0.009 </t>
  </si>
  <si>
    <t xml:space="preserve">კედლებზე ლამინირებული დამცავი ბამპერების მოწყობა </t>
  </si>
  <si>
    <t>ლამინირებული "დსპ"  200 მმ * 12 მმ</t>
  </si>
  <si>
    <t>თხევადი ლურსმანი 310 მლ</t>
  </si>
  <si>
    <t>ხრახნი 3 მმ</t>
  </si>
  <si>
    <t xml:space="preserve">    სამშენებლო სარემონტო სამუშაოები </t>
  </si>
  <si>
    <t xml:space="preserve">სამღებრო კუთხოვანა  </t>
  </si>
  <si>
    <t xml:space="preserve">სამღებრო ბადე ლენტა  </t>
  </si>
  <si>
    <t>სილიკონი 310 მლგ</t>
  </si>
  <si>
    <t>საიზოლაციო ლენტი იატაკის პროფილზე</t>
  </si>
  <si>
    <t>საღებავი წმენდადი  RAL 9003 (დამკვეთთან შეთანხმება)</t>
  </si>
  <si>
    <t>საღებავის გრუნტი</t>
  </si>
  <si>
    <t xml:space="preserve">თაბ.მუყ. ნესტგამძლე ფილა </t>
  </si>
  <si>
    <t>2022 წლის 9 სექტემბერი</t>
  </si>
  <si>
    <t>ქუთაისი, ოცხელის ქ. № 2 რეფერალური ჰოსპიტალი</t>
  </si>
  <si>
    <t>2022 წლის  9 სექტემბერი</t>
  </si>
  <si>
    <t>კედლის ფენილების გასუფთავება</t>
  </si>
  <si>
    <t>საოპერაციო კარების დემონტაჟი</t>
  </si>
  <si>
    <t xml:space="preserve">  V სართული                                                                                                </t>
  </si>
  <si>
    <t xml:space="preserve">ტიხრებისა და კედლების დამუშავება/შეღებვა </t>
  </si>
  <si>
    <t>საღებავი წმენდადი, ანტიბაქტერიული</t>
  </si>
  <si>
    <t>ჰერმეტული კარი ზომებით 210x150 (დიდი ზომის)</t>
  </si>
  <si>
    <t>ჰერმეტული კარი ზომებით 210x100 (მცირე ზომის)</t>
  </si>
  <si>
    <t>ალუმინის 25x25x0.7 მმ კუთხოვანა</t>
  </si>
  <si>
    <r>
      <t xml:space="preserve">ტიხრების წიბოების დამცავი ალუმინის 25x25x0.7 მმ კუთხოვანას მოწყობა </t>
    </r>
    <r>
      <rPr>
        <sz val="10"/>
        <color theme="1"/>
        <rFont val="Sylfaen"/>
        <family val="1"/>
      </rPr>
      <t>(70 სმ. სიმაღლეზე)</t>
    </r>
  </si>
  <si>
    <t>ბოქსირებული პალატის ლამინირებული PVC მდფ  (სამედიცინო სფეროსათვის განკუთვნილი) კარის ბლოკის ნაწილობრივი დამუშავება/შეღებვა</t>
  </si>
  <si>
    <t xml:space="preserve">საოპერაციოში დამონტაჟებული ონკანის ჩამრთველის </t>
  </si>
  <si>
    <t>პლასტიკატის ჭერის დემონტაჟი პალატების საპირფარეშოებში</t>
  </si>
  <si>
    <t xml:space="preserve">IV სართული                                                                                          </t>
  </si>
  <si>
    <t>კედლის ფენილების გასუფთავება დერეფანსა და ზოგიერთ პალატაში</t>
  </si>
  <si>
    <t>პლასტიკატის ჭერის მონტაჟი პალატების საპირფარეშოებში</t>
  </si>
  <si>
    <t>პლასტიკატის ფილა</t>
  </si>
  <si>
    <t>პლასტიკატის ჭერის P პროფილი</t>
  </si>
  <si>
    <t>ხრახნი</t>
  </si>
  <si>
    <t xml:space="preserve">კედლების დამუშავება/შეღებვა </t>
  </si>
  <si>
    <t>ბოქსირებული პალატის მოწყობა 309 ოთახში</t>
  </si>
  <si>
    <t xml:space="preserve"> III სართული                                                                                       </t>
  </si>
  <si>
    <t xml:space="preserve">II სართული                                                                                          </t>
  </si>
  <si>
    <t>სამშენებლო ნარჩენების შეგროვება-დატვირთვა ა/მ-ზე და ტრანსპორტირება 15 კმ-ზე</t>
  </si>
  <si>
    <t xml:space="preserve">საღებავი ლითონის ანტიბაქტერიული </t>
  </si>
  <si>
    <t>ლითონის კარის ზედაპირების გასუფთავება/დამუშავება/შეღებვა</t>
  </si>
  <si>
    <t xml:space="preserve">ზუმფარა     </t>
  </si>
  <si>
    <t xml:space="preserve"> სამშენებლო-სამონტაჟო სამუშაოები</t>
  </si>
  <si>
    <r>
      <t>მ</t>
    </r>
    <r>
      <rPr>
        <sz val="8"/>
        <color theme="1"/>
        <rFont val="Cambria"/>
        <family val="1"/>
        <charset val="204"/>
      </rPr>
      <t>²</t>
    </r>
  </si>
  <si>
    <r>
      <t>მ</t>
    </r>
    <r>
      <rPr>
        <sz val="8"/>
        <color theme="1"/>
        <rFont val="Sylfaen"/>
        <family val="1"/>
      </rPr>
      <t>³</t>
    </r>
  </si>
  <si>
    <t>წმენდადი, ანტიბაქტერული ჰერმეტული კარების მონტაჟი საოპერაციოებში</t>
  </si>
  <si>
    <t>სამშენებლო ნარჩენების შეგროვება-დატვირთვა ა/მ-ზე სამშენებლო ნარჩენების ტრანსპორტირება 20 კმ-ზე</t>
  </si>
  <si>
    <t>თ/მუყაოს მოპირკეთება და ჭერის მოწყობა</t>
  </si>
  <si>
    <t xml:space="preserve">თაბ.მუყ. ფილა </t>
  </si>
  <si>
    <t>პროფილები დგარის CW 75*0,5 მმ, მიმმართვ. UW75*0,5; ხრახნები, გამჭედი დუბელი და სხვა მასალები 1მ² ტიხარზე</t>
  </si>
  <si>
    <t>პროფილი CD 27/60/27/0.50; UD 0.50 და  ხრახნები, გამჭედი დუბელი და სხვა მასალები 1მ² მოპირკეთებაზე</t>
  </si>
  <si>
    <t>საიზოლაციო მასალა  ქვაბამბა 50 მმ</t>
  </si>
  <si>
    <t xml:space="preserve">ტიხრების, კედლებისა და ჭერის დამუშავება-შეღებვა </t>
  </si>
  <si>
    <t>თ/მუყაოს ტიხრის მოწყობა</t>
  </si>
  <si>
    <t>თ/მუყაოს ჭერის მოწყობა</t>
  </si>
  <si>
    <t>არსებული მდფ-ის კარის ბლოკების დემონტაჟი</t>
  </si>
  <si>
    <r>
      <rPr>
        <b/>
        <sz val="10"/>
        <color theme="1"/>
        <rFont val="Cambria"/>
        <family val="1"/>
        <charset val="204"/>
      </rPr>
      <t>l</t>
    </r>
    <r>
      <rPr>
        <b/>
        <sz val="10"/>
        <color theme="1"/>
        <rFont val="Sylfaen"/>
        <family val="1"/>
        <charset val="204"/>
      </rPr>
      <t>.  სადემონტაჟო სამუშაოები</t>
    </r>
  </si>
  <si>
    <r>
      <rPr>
        <b/>
        <sz val="10"/>
        <color theme="1"/>
        <rFont val="Cambria"/>
        <family val="1"/>
        <charset val="204"/>
      </rPr>
      <t>ll</t>
    </r>
    <r>
      <rPr>
        <b/>
        <sz val="10"/>
        <color theme="1"/>
        <rFont val="Sylfaen"/>
        <family val="1"/>
        <charset val="204"/>
      </rPr>
      <t>. აღდგენითი სამუშაოები</t>
    </r>
  </si>
  <si>
    <t xml:space="preserve">ზუმფარა  0.009 </t>
  </si>
  <si>
    <t>გრუნტი საღებავის</t>
  </si>
  <si>
    <t>ამსტროგის ჭერის დემონტაჟი</t>
  </si>
  <si>
    <t>წერტ</t>
  </si>
  <si>
    <t>მ³</t>
  </si>
  <si>
    <t>ტნ</t>
  </si>
  <si>
    <t xml:space="preserve">წებო ბიზონკიტი ან მსგავსი </t>
  </si>
  <si>
    <t>წებო გრაფიტის (ანტისტატიკური ვინილისათვის)</t>
  </si>
  <si>
    <t xml:space="preserve">ქვიშა   (მასალის აზიდვით)                </t>
  </si>
  <si>
    <t xml:space="preserve">ცემენტი   (მასალის აზიდვით) </t>
  </si>
  <si>
    <r>
      <t>ვინილის  იატაკების  მოწყობა</t>
    </r>
    <r>
      <rPr>
        <sz val="10"/>
        <color theme="1"/>
        <rFont val="Sylfaen"/>
        <family val="1"/>
      </rPr>
      <t xml:space="preserve"> (პლინტუსის ჩათვლით)</t>
    </r>
  </si>
  <si>
    <t xml:space="preserve">თაბ.მუყ. ფილა  ჩვეულებრივი სისქე 12.5მმ   </t>
  </si>
  <si>
    <t xml:space="preserve">ჭერის მოწყობა თაბაშირ მუყაოს  ფილებით </t>
  </si>
  <si>
    <t>პროფილები ჭერის  მიმმართვ.  სწრაფმონტირებადი ხრახნები TN25, TN35, გამჭედი დუბელი და სხვა მასალები 1მ² ჭერზე</t>
  </si>
  <si>
    <t>პროფილები დგარის CW 75*0,5 მმ, მიმმართვ. UW75*0,5; სწრაფმონტირებადი ხრახნები TN25 და TN35, გამჭედი დუბელი და სხვა მასალები 1მ² ტიხარზე</t>
  </si>
  <si>
    <t>კედლებისა და ჭერის დამუშავება-შეღებვა</t>
  </si>
  <si>
    <t xml:space="preserve">თაბ.მუყაოს ტიხრის მოწყობა ბგერათბო იზოლაციით </t>
  </si>
  <si>
    <r>
      <t xml:space="preserve">თაბაშირ მუყაოს ჭერზე ჩასამონტაჟებელი ლედსანათების მონტაჟი </t>
    </r>
    <r>
      <rPr>
        <sz val="10"/>
        <color theme="1"/>
        <rFont val="Sylfaen"/>
        <family val="1"/>
      </rPr>
      <t>(შეთანმხდეს დამკვეთთან)</t>
    </r>
  </si>
  <si>
    <t>ელ.ჩამრთველებისა და როზეტების მონტაჟი</t>
  </si>
  <si>
    <t>სპილენძის ძარღვიანი კაბელი, ორმაგი არაალებადი იზოლაციის, კვეთით 3X1,5 მმ² გოფრირებულ მილში გატარებით</t>
  </si>
  <si>
    <t>გრძ.მ.</t>
  </si>
  <si>
    <t>იგივე 3X2,5 მმ²  გოფრირებულ მილში გატარებით</t>
  </si>
  <si>
    <t>გრძ..მ</t>
  </si>
  <si>
    <t>ელექტრო გამანაწილებლი კოლოფები</t>
  </si>
  <si>
    <t>ცალი</t>
  </si>
  <si>
    <t>გრძ.მ</t>
  </si>
  <si>
    <r>
      <t xml:space="preserve">გამწოვის სავენტილაციო ცხაურების მონტაჟი ამსტრონგის შეკიდულ ჭერში (0.2 </t>
    </r>
    <r>
      <rPr>
        <b/>
        <sz val="10"/>
        <color theme="1"/>
        <rFont val="Arial"/>
        <family val="2"/>
        <charset val="204"/>
      </rPr>
      <t>×</t>
    </r>
    <r>
      <rPr>
        <b/>
        <sz val="10"/>
        <color theme="1"/>
        <rFont val="Sylfaen"/>
        <family val="1"/>
        <charset val="204"/>
      </rPr>
      <t xml:space="preserve"> 0.3)მ</t>
    </r>
  </si>
  <si>
    <t>ც</t>
  </si>
  <si>
    <t>გრ.მ</t>
  </si>
  <si>
    <t>კრებსითი ხარჯთაღრიცხვა</t>
  </si>
  <si>
    <t xml:space="preserve">ქვიშა-ცემენტის მჭიმის მოწყობა იატაკებზე  </t>
  </si>
  <si>
    <t xml:space="preserve">თაბ.მუყ. ფილა   სისქე 12.5მმ   </t>
  </si>
  <si>
    <r>
      <t xml:space="preserve">ალუმინის კარის ბლოკი სასრიალო  150/220  </t>
    </r>
    <r>
      <rPr>
        <sz val="10"/>
        <color theme="1"/>
        <rFont val="Sylfaen"/>
        <family val="1"/>
      </rPr>
      <t>(დაკვეთთან შეთანხმებით)</t>
    </r>
  </si>
  <si>
    <t>მდფ კარების ბლოკი  150/205(დამკვეთან შეთანხმებით)</t>
  </si>
  <si>
    <t>თაბ.მუყ. ტიხრების დემონტაჟი კარის ღიობებში</t>
  </si>
  <si>
    <t>თაბ.მუყ. ჭერის დემონტაჟი საოპერაციოში</t>
  </si>
  <si>
    <t>ვინილის იატაკების დემონტაჟი</t>
  </si>
  <si>
    <t>ქვიშაცემნეტის მჭიმის ნაწილობრივი დემონტაჟი</t>
  </si>
  <si>
    <t>მდფ კარები ბლოკი</t>
  </si>
  <si>
    <t>შემრევი კრანი დუშით</t>
  </si>
  <si>
    <t>სველი წერტილის მოწყობა</t>
  </si>
  <si>
    <t>წერტილი</t>
  </si>
  <si>
    <t>ცივი წყლის მილი 20მმ</t>
  </si>
  <si>
    <t>წყლის მილის ფინტიკები</t>
  </si>
  <si>
    <t>საკანალიზაციო მილი 50მმ</t>
  </si>
  <si>
    <t>საკანალიზაციო მილი 100მმ</t>
  </si>
  <si>
    <t>საკანალიზაციო მილის ფინტიკები</t>
  </si>
  <si>
    <t>კედლისა და იატაკის მპირკეთება კერამიკული ფილებით</t>
  </si>
  <si>
    <t>კაფელი (დამკვეთთან შეთანხმება)</t>
  </si>
  <si>
    <t>წებოცემენტი</t>
  </si>
  <si>
    <t>სამონაჟო პლასტიკ აქსესუარი</t>
  </si>
  <si>
    <r>
      <t>ალუმინის კარის დემონტაჟი</t>
    </r>
    <r>
      <rPr>
        <sz val="10"/>
        <color theme="1"/>
        <rFont val="Sylfaen"/>
        <family val="1"/>
      </rPr>
      <t>(დაკვეთთან შეთანხმებით)</t>
    </r>
  </si>
  <si>
    <t>მკ</t>
  </si>
  <si>
    <t>გოფრირებული პლასტმასის მილები</t>
  </si>
  <si>
    <t>ხელსაბანი ნიჟარის მონტაჟი, არკოს კრანებით,  შემრევით, დრეკადი მილებით, სიფონით  კომპლექტში (დამკვეთთან შეთანხმებით)</t>
  </si>
  <si>
    <t>უნიტაზის მონტაჟი ჩამრეცხით  არკოს ტიპის ონკანით, დრეკადი მილით კომპლექტში</t>
  </si>
  <si>
    <t>ტრაპი</t>
  </si>
  <si>
    <t>ალუმინის კარები სასრიალო</t>
  </si>
  <si>
    <t>კვ.მ</t>
  </si>
  <si>
    <t xml:space="preserve"> კედლის მოწყობა ალუმინის ვიტრაჟით</t>
  </si>
  <si>
    <t>დამხმარე მუშა</t>
  </si>
  <si>
    <t>დღე</t>
  </si>
  <si>
    <t xml:space="preserve">თაბ.მუყ. მტიხრის დემონტაჟი </t>
  </si>
  <si>
    <t>უნიტაზის და ნიჟარის მოშლა</t>
  </si>
  <si>
    <t>ელ.ჩამრთველებისა და როზეტების დემონტაჟი</t>
  </si>
  <si>
    <t>კგ.</t>
  </si>
  <si>
    <t>პროფილი ჰორიზონტის (მაიაკი)</t>
  </si>
  <si>
    <t>ჰაერის კონსოლის მოშლა მოწყობა</t>
  </si>
  <si>
    <t>მეტლახის პლინტუსი</t>
  </si>
  <si>
    <t xml:space="preserve">წყლის მილის ფინტიკები </t>
  </si>
  <si>
    <t xml:space="preserve">გამწოვი დ=150მმ ვენტილატორის მონტაჟი სან კვანძებში დ=150მმ </t>
  </si>
  <si>
    <t xml:space="preserve">picu, კარდიო- I დონე, ნევროლოგია თეარპია -I დონე                                                                    </t>
  </si>
  <si>
    <t>უარყოფითი წნევების მოწყობა მასალითურთ 3 ლოკაციაზე, კარდიო, ნევროლოგია/თერაპია, picu</t>
  </si>
  <si>
    <t xml:space="preserve">ჟანგბადის და ჰაერის პორტების დემონტაჟი/მონტაჟი </t>
  </si>
  <si>
    <t>ჟანგბადის და ჰაერის პორტების სათადარიგო ნაწილები</t>
  </si>
  <si>
    <t xml:space="preserve">A4 მეოთხეზე კარდიო რეანიმაცია/პოსტოპერაციული  სივრცის სარემონტო სამუშაოები                                                                            </t>
  </si>
  <si>
    <t>მეტალოპლასმასის კარები სველი წერტილისთვის 210/75</t>
  </si>
  <si>
    <r>
      <t xml:space="preserve">გამწოვის სავენტილაციო ცხაურების მონტაჟი თაბაშირმუყაოს ჭერში (0.2 </t>
    </r>
    <r>
      <rPr>
        <b/>
        <sz val="10"/>
        <color theme="1"/>
        <rFont val="Arial"/>
        <family val="2"/>
        <charset val="204"/>
      </rPr>
      <t>×</t>
    </r>
    <r>
      <rPr>
        <b/>
        <sz val="10"/>
        <color theme="1"/>
        <rFont val="Sylfaen"/>
        <family val="1"/>
        <charset val="204"/>
      </rPr>
      <t xml:space="preserve"> 0.3)მ</t>
    </r>
  </si>
  <si>
    <t>მდფ კარები ორფრთიანი 150/205</t>
  </si>
  <si>
    <t>ჟანგბადის/ჰაერის და ვაკუუმის პორტების გადატანა, ელექტროობასთან ერთად</t>
  </si>
  <si>
    <t>ვინილის იატაკის ჩაკერებითი სამუშაოები</t>
  </si>
  <si>
    <t>ვენტილაციის სისიტემის მოწყობა შესაბამისობაშ თაბაშრ მუყაოს ჭერბთან, უარყოფითი წნევის შექმნით იზოლირებულ სივრცეში</t>
  </si>
  <si>
    <t xml:space="preserve">B 5 რეამინაციის/პოსტოპერაციული  სივრცის სარემონტო სამუშაოები                                                                            </t>
  </si>
  <si>
    <t>სუნთქვის აპარატის მაგიდების დემონტაჟი და შესაბამისობაშ მოყვანა საწოლებთან</t>
  </si>
  <si>
    <t>გადასხმის  სისტემების  საკიდის მოწყობა</t>
  </si>
  <si>
    <r>
      <t xml:space="preserve">მდფ კარის ბლოკები 150/205  </t>
    </r>
    <r>
      <rPr>
        <sz val="10"/>
        <color theme="1"/>
        <rFont val="Sylfaen"/>
        <family val="1"/>
      </rPr>
      <t>(დაკვეთთან შეთანხმებით)</t>
    </r>
  </si>
  <si>
    <t>რკინის და მეტალოს ჰიბრიდული გასასრიალებელი კარებისმონტაჟი ჩარჩოსთან ერთად 260/230</t>
  </si>
  <si>
    <t>კვმ</t>
  </si>
  <si>
    <t>დასავლეთ საქართველოს სამედიცინო ცენტრი</t>
  </si>
  <si>
    <t xml:space="preserve"> ც კორპუსის  საოპერაციო სივრცის სარემონტო სამუშაოები                                                                            </t>
  </si>
  <si>
    <t>თაბ.მუყ. ტიხრის დემონტაჟი საოპერაციოში</t>
  </si>
  <si>
    <t>მეტლახისა და ქვიშაცემნეტის მჭიმის ნაწილობრივი დემონტაჟი</t>
  </si>
  <si>
    <t>სამშენებლო ნარჩენების შეგროვება ჩატანა მეხუთე სართულიდან</t>
  </si>
  <si>
    <t>ბეტონის კედლის მოშლა კარებისთვის</t>
  </si>
  <si>
    <r>
      <t>ვინილის  იატაკების  მოშლა</t>
    </r>
    <r>
      <rPr>
        <sz val="10"/>
        <color theme="1"/>
        <rFont val="Sylfaen"/>
        <family val="1"/>
      </rPr>
      <t xml:space="preserve"> (პლინტუსის ჩათვლით)</t>
    </r>
  </si>
  <si>
    <t>არსებული მდფ კარების მოშლა</t>
  </si>
  <si>
    <t>კომპ.</t>
  </si>
  <si>
    <t xml:space="preserve">თაბ.მუყ. ფილა  ნესტგამძლე სისქე 12.5მმ   </t>
  </si>
  <si>
    <t>საკანალიზაციო მილის ფინტიკები 50მმ</t>
  </si>
  <si>
    <t>2023 წლის 6 ივნისი</t>
  </si>
  <si>
    <t xml:space="preserve"> C5  კორპუსის  საოპერაციო სივრცის სარემონტო სამუშაოები  </t>
  </si>
  <si>
    <t>ვენტილატორი ВКПФ 4Д 600x300</t>
  </si>
  <si>
    <t>წყლის გამაცხელებელი НКВ 600x300-4</t>
  </si>
  <si>
    <t>რეკუპერატორი ПР 500x300</t>
  </si>
  <si>
    <t>ვენტილატორი ВКПФ 4Д 500x300</t>
  </si>
  <si>
    <t>ფასონური ნაწილები</t>
  </si>
  <si>
    <t>პულტი</t>
  </si>
  <si>
    <t>ჩამკეტი რელე</t>
  </si>
  <si>
    <t xml:space="preserve">პლასტმასის მილები </t>
  </si>
  <si>
    <t xml:space="preserve">ჰეპა ბოქსების დამზადება </t>
  </si>
  <si>
    <t xml:space="preserve">გამწოვი ბოქსების დამზადება </t>
  </si>
  <si>
    <t>ჰეპა ცხაურები</t>
  </si>
  <si>
    <t>საოპერაციოში სტანდარტებთან შესაბამისი ვენტილაციის სისტემის მოწყობა</t>
  </si>
  <si>
    <t>სათუნიქე სამუშაოები მოდინებითი და გამწოვი სისტემისთვის</t>
  </si>
  <si>
    <t xml:space="preserve"> შესაფუთი მასალა</t>
  </si>
  <si>
    <t>საოპერაციოების კედლისა და იატაკის მოპირკეთება კერამიკული ფილებით</t>
  </si>
  <si>
    <t>სილიკონური რეცხვადი ანტიბაქტერიული საღებავი რომელსაც გააჩნია უვნებლობის სერთიფიკატი და დაშვებულია სამედიცინო სფეროში გამოსაყენებლად PERMOMAX</t>
  </si>
  <si>
    <t>ერთფრთიანი მდფ კარების მოწყობა ზომით 205/90</t>
  </si>
  <si>
    <t>ორფთიანი მდფ კარების მოწყობა ზომით 205/150</t>
  </si>
  <si>
    <t>მეტალოპლასმსის კარები სველი წერტილისთვის 210/75</t>
  </si>
  <si>
    <t>ლითონის სპეც. კარის ბლოკი   (1.5 X 2.15)მ -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</si>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</sst>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Sylfaen"/>
      <family val="1"/>
      <charset val="204"/>
    </font>
    <font>
      <b/>
      <sz val="14"/>
      <color theme="1"/>
      <name val="Sylfaen"/>
      <family val="1"/>
      <charset val="204"/>
    </font>
    <font>
      <sz val="10"/>
      <color theme="1"/>
      <name val="Sylfaen"/>
      <family val="1"/>
      <charset val="204"/>
    </font>
    <font>
      <b/>
      <sz val="10"/>
      <color theme="1"/>
      <name val="Sylfaen"/>
      <family val="1"/>
      <charset val="204"/>
    </font>
    <font>
      <sz val="12"/>
      <color theme="1"/>
      <name val="Sylfaen"/>
      <family val="1"/>
      <charset val="204"/>
    </font>
    <font>
      <b/>
      <sz val="10"/>
      <color theme="1"/>
      <name val="Cambria"/>
      <family val="1"/>
      <charset val="204"/>
    </font>
    <font>
      <sz val="10"/>
      <color theme="1"/>
      <name val="Sylfaen"/>
      <family val="1"/>
    </font>
    <font>
      <sz val="9"/>
      <color theme="1"/>
      <name val="Sylfaen"/>
      <family val="1"/>
    </font>
    <font>
      <sz val="9"/>
      <color theme="1"/>
      <name val="Sylfaen"/>
      <family val="1"/>
      <charset val="204"/>
    </font>
    <font>
      <b/>
      <sz val="10"/>
      <color theme="1"/>
      <name val="Sylfaen"/>
      <family val="1"/>
    </font>
    <font>
      <b/>
      <sz val="12"/>
      <color theme="1"/>
      <name val="Sylfaen"/>
      <family val="1"/>
    </font>
    <font>
      <b/>
      <sz val="8"/>
      <color theme="1"/>
      <name val="Sylfaen"/>
      <family val="1"/>
    </font>
    <font>
      <sz val="10"/>
      <color theme="1"/>
      <name val="Arial"/>
      <family val="2"/>
      <charset val="204"/>
    </font>
    <font>
      <b/>
      <sz val="9"/>
      <color theme="1"/>
      <name val="Sylfaen"/>
      <family val="1"/>
    </font>
    <font>
      <sz val="9"/>
      <color theme="1"/>
      <name val="Calibri"/>
      <family val="2"/>
      <scheme val="minor"/>
    </font>
    <font>
      <b/>
      <sz val="9"/>
      <color theme="1"/>
      <name val="Sylfaen"/>
      <family val="1"/>
      <charset val="204"/>
    </font>
    <font>
      <sz val="8"/>
      <color theme="1"/>
      <name val="Sylfaen"/>
      <family val="1"/>
      <charset val="204"/>
    </font>
    <font>
      <sz val="8"/>
      <color theme="1"/>
      <name val="Sylfaen"/>
      <family val="1"/>
    </font>
    <font>
      <b/>
      <sz val="8"/>
      <color theme="1"/>
      <name val="Sylfaen"/>
      <family val="1"/>
      <charset val="204"/>
    </font>
    <font>
      <sz val="8"/>
      <color theme="1"/>
      <name val="Cambria"/>
      <family val="1"/>
      <charset val="204"/>
    </font>
    <font>
      <sz val="10"/>
      <name val="Sylfaen"/>
      <family val="1"/>
    </font>
    <font>
      <sz val="8"/>
      <color theme="1"/>
      <name val="Calibri"/>
      <family val="2"/>
      <scheme val="minor"/>
    </font>
    <font>
      <b/>
      <sz val="10"/>
      <color theme="1"/>
      <name val="Sylfaen"/>
      <family val="1"/>
    </font>
    <font>
      <b/>
      <sz val="9"/>
      <color theme="1"/>
      <name val="Sylfaen"/>
      <family val="1"/>
    </font>
    <font>
      <b/>
      <sz val="14"/>
      <color theme="1"/>
      <name val="Sylfaen"/>
      <family val="1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Sylfaen"/>
      <family val="1"/>
      <charset val="204"/>
    </font>
    <font>
      <b/>
      <sz val="11"/>
      <color theme="1"/>
      <name val="Sylfaen"/>
      <family val="1"/>
    </font>
    <font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1"/>
      <scheme val="minor"/>
    </font>
    <font>
      <sz val="11"/>
      <color theme="1"/>
      <name val="Calibri"/>
      <family val="1"/>
      <scheme val="minor"/>
    </font>
    <font>
      <b/>
      <sz val="10"/>
      <name val="Sylfae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</cellStyleXfs>
  <cellXfs count="20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2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49" fontId="3" fillId="2" borderId="1" xfId="0" applyNumberFormat="1" applyFont="1" applyFill="1" applyBorder="1" applyAlignment="1">
      <alignment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2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top"/>
    </xf>
    <xf numFmtId="2" fontId="9" fillId="2" borderId="1" xfId="0" applyNumberFormat="1" applyFont="1" applyFill="1" applyBorder="1" applyAlignment="1">
      <alignment horizontal="center" vertical="center"/>
    </xf>
    <xf numFmtId="0" fontId="15" fillId="0" borderId="0" xfId="0" applyFont="1"/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2" fontId="8" fillId="2" borderId="1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9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 wrapText="1"/>
    </xf>
    <xf numFmtId="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wrapText="1"/>
    </xf>
    <xf numFmtId="1" fontId="7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/>
    <xf numFmtId="164" fontId="3" fillId="2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0" fontId="10" fillId="2" borderId="1" xfId="0" applyFont="1" applyFill="1" applyBorder="1" applyAlignment="1">
      <alignment horizontal="center" vertical="center"/>
    </xf>
    <xf numFmtId="0" fontId="2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vertical="center" wrapText="1"/>
    </xf>
    <xf numFmtId="0" fontId="17" fillId="2" borderId="1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49" fontId="4" fillId="3" borderId="2" xfId="0" applyNumberFormat="1" applyFont="1" applyFill="1" applyBorder="1" applyAlignment="1">
      <alignment horizontal="left" vertical="center" wrapText="1"/>
    </xf>
    <xf numFmtId="49" fontId="3" fillId="2" borderId="6" xfId="0" applyNumberFormat="1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2" fontId="3" fillId="2" borderId="5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7" fillId="2" borderId="1" xfId="0" applyFont="1" applyFill="1" applyBorder="1"/>
    <xf numFmtId="0" fontId="7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wrapText="1"/>
    </xf>
    <xf numFmtId="2" fontId="7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49" fontId="3" fillId="2" borderId="1" xfId="0" applyNumberFormat="1" applyFont="1" applyFill="1" applyBorder="1" applyAlignment="1">
      <alignment horizontal="left" wrapText="1"/>
    </xf>
    <xf numFmtId="2" fontId="10" fillId="2" borderId="1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Border="1" applyAlignment="1">
      <alignment horizontal="left" vertical="center" wrapText="1"/>
    </xf>
    <xf numFmtId="49" fontId="4" fillId="0" borderId="6" xfId="0" applyNumberFormat="1" applyFont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left" vertical="center" wrapText="1"/>
    </xf>
    <xf numFmtId="0" fontId="18" fillId="3" borderId="5" xfId="0" applyFont="1" applyFill="1" applyBorder="1" applyAlignment="1">
      <alignment horizontal="center" vertical="center" wrapText="1"/>
    </xf>
    <xf numFmtId="2" fontId="7" fillId="3" borderId="5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center" vertical="center"/>
    </xf>
    <xf numFmtId="4" fontId="29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left" vertical="center" wrapText="1"/>
    </xf>
    <xf numFmtId="49" fontId="7" fillId="2" borderId="2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4" fontId="15" fillId="0" borderId="0" xfId="0" applyNumberFormat="1" applyFont="1"/>
    <xf numFmtId="4" fontId="4" fillId="2" borderId="6" xfId="0" applyNumberFormat="1" applyFont="1" applyFill="1" applyBorder="1" applyAlignment="1">
      <alignment vertical="center" wrapText="1"/>
    </xf>
    <xf numFmtId="4" fontId="4" fillId="2" borderId="13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14" fillId="2" borderId="11" xfId="0" applyFont="1" applyFill="1" applyBorder="1" applyAlignment="1">
      <alignment vertical="center" wrapText="1"/>
    </xf>
    <xf numFmtId="14" fontId="1" fillId="0" borderId="0" xfId="0" applyNumberFormat="1" applyFont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25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vertical="center" wrapText="1"/>
    </xf>
    <xf numFmtId="49" fontId="4" fillId="4" borderId="1" xfId="0" applyNumberFormat="1" applyFont="1" applyFill="1" applyBorder="1" applyAlignment="1">
      <alignment horizontal="left" vertical="center" wrapText="1"/>
    </xf>
    <xf numFmtId="0" fontId="17" fillId="4" borderId="5" xfId="0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vertical="center"/>
    </xf>
    <xf numFmtId="1" fontId="15" fillId="0" borderId="0" xfId="0" applyNumberFormat="1" applyFont="1" applyAlignment="1">
      <alignment wrapText="1"/>
    </xf>
    <xf numFmtId="49" fontId="33" fillId="2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right" vertical="center" wrapText="1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4" fontId="4" fillId="2" borderId="6" xfId="0" applyNumberFormat="1" applyFont="1" applyFill="1" applyBorder="1" applyAlignment="1">
      <alignment horizontal="right" vertical="center" wrapText="1"/>
    </xf>
    <xf numFmtId="4" fontId="4" fillId="2" borderId="13" xfId="0" applyNumberFormat="1" applyFont="1" applyFill="1" applyBorder="1" applyAlignment="1">
      <alignment horizontal="right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9" fillId="0" borderId="0" xfId="0" applyFont="1" applyAlignment="1">
      <alignment horizontal="left" vertical="center"/>
    </xf>
    <xf numFmtId="4" fontId="16" fillId="2" borderId="6" xfId="0" applyNumberFormat="1" applyFont="1" applyFill="1" applyBorder="1" applyAlignment="1">
      <alignment horizontal="right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14" fillId="0" borderId="0" xfId="0" applyFont="1" applyFill="1" applyAlignment="1">
      <alignment vertical="center" wrapText="1"/>
    </xf>
    <xf numFmtId="0" fontId="9" fillId="0" borderId="6" xfId="0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2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/>
    <xf numFmtId="2" fontId="7" fillId="0" borderId="1" xfId="0" applyNumberFormat="1" applyFon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5" fillId="0" borderId="0" xfId="0" applyFont="1" applyFill="1"/>
  </cellXfs>
  <cellStyles count="6">
    <cellStyle name="Normal" xfId="0" builtinId="0"/>
    <cellStyle name="Normal 3" xfId="2" xr:uid="{7C151485-E018-498B-83E1-7ABA6F47BF00}"/>
    <cellStyle name="Normal 3 2" xfId="1" xr:uid="{00000000-0005-0000-0000-000001000000}"/>
    <cellStyle name="Normal 4" xfId="3" xr:uid="{C89EA960-5ABA-4E0D-9368-D1E80252A682}"/>
    <cellStyle name="Normal 5" xfId="4" xr:uid="{95145B30-AD37-4F88-B129-993E5EEB1B37}"/>
    <cellStyle name="Normal 6" xfId="5" xr:uid="{C8AA3A28-851E-4610-AA66-DAD26DD0E154}"/>
  </cellStyles>
  <dxfs count="0"/>
  <tableStyles count="0" defaultTableStyle="TableStyleMedium9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27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28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27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27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386772</xdr:colOff>
      <xdr:row>18</xdr:row>
      <xdr:rowOff>0</xdr:rowOff>
    </xdr:from>
    <xdr:to>
      <xdr:col>15</xdr:col>
      <xdr:colOff>466436</xdr:colOff>
      <xdr:row>21</xdr:row>
      <xdr:rowOff>367608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2605" y="5016347"/>
          <a:ext cx="685800" cy="944880"/>
        </a:xfrm>
        <a:prstGeom prst="rect">
          <a:avLst/>
        </a:prstGeom>
      </xdr:spPr>
    </xdr:pic>
    <xdr:clientData/>
  </xdr:twoCellAnchor>
  <xdr:twoCellAnchor editAs="oneCell">
    <xdr:from>
      <xdr:col>15</xdr:col>
      <xdr:colOff>509923</xdr:colOff>
      <xdr:row>18</xdr:row>
      <xdr:rowOff>0</xdr:rowOff>
    </xdr:from>
    <xdr:to>
      <xdr:col>17</xdr:col>
      <xdr:colOff>44409</xdr:colOff>
      <xdr:row>21</xdr:row>
      <xdr:rowOff>359988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1893" y="5053061"/>
          <a:ext cx="746759" cy="937260"/>
        </a:xfrm>
        <a:prstGeom prst="rect">
          <a:avLst/>
        </a:prstGeom>
      </xdr:spPr>
    </xdr:pic>
    <xdr:clientData/>
  </xdr:twoCellAnchor>
  <xdr:twoCellAnchor editAs="oneCell">
    <xdr:from>
      <xdr:col>13</xdr:col>
      <xdr:colOff>275627</xdr:colOff>
      <xdr:row>18</xdr:row>
      <xdr:rowOff>0</xdr:rowOff>
    </xdr:from>
    <xdr:to>
      <xdr:col>14</xdr:col>
      <xdr:colOff>332430</xdr:colOff>
      <xdr:row>21</xdr:row>
      <xdr:rowOff>390468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5324" y="4996950"/>
          <a:ext cx="662940" cy="96774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462355</xdr:colOff>
      <xdr:row>18</xdr:row>
      <xdr:rowOff>0</xdr:rowOff>
    </xdr:from>
    <xdr:to>
      <xdr:col>13</xdr:col>
      <xdr:colOff>451810</xdr:colOff>
      <xdr:row>21</xdr:row>
      <xdr:rowOff>428567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9628" y="5112821"/>
          <a:ext cx="662940" cy="1005839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19</xdr:row>
      <xdr:rowOff>0</xdr:rowOff>
    </xdr:from>
    <xdr:to>
      <xdr:col>16</xdr:col>
      <xdr:colOff>341866</xdr:colOff>
      <xdr:row>21</xdr:row>
      <xdr:rowOff>1024852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7772" y="8087591"/>
          <a:ext cx="2518185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165833</xdr:colOff>
      <xdr:row>19</xdr:row>
      <xdr:rowOff>0</xdr:rowOff>
    </xdr:from>
    <xdr:to>
      <xdr:col>18</xdr:col>
      <xdr:colOff>444604</xdr:colOff>
      <xdr:row>21</xdr:row>
      <xdr:rowOff>1032472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7803" y="8162593"/>
          <a:ext cx="2097180" cy="14173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42333</xdr:colOff>
      <xdr:row>19</xdr:row>
      <xdr:rowOff>0</xdr:rowOff>
    </xdr:from>
    <xdr:to>
      <xdr:col>18</xdr:col>
      <xdr:colOff>135973</xdr:colOff>
      <xdr:row>21</xdr:row>
      <xdr:rowOff>1024852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8166" y="6582834"/>
          <a:ext cx="2518185" cy="14097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104257</xdr:colOff>
      <xdr:row>19</xdr:row>
      <xdr:rowOff>0</xdr:rowOff>
    </xdr:from>
    <xdr:to>
      <xdr:col>15</xdr:col>
      <xdr:colOff>450280</xdr:colOff>
      <xdr:row>21</xdr:row>
      <xdr:rowOff>1032472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1530" y="6590486"/>
          <a:ext cx="2106705" cy="1417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98136</xdr:colOff>
      <xdr:row>19</xdr:row>
      <xdr:rowOff>0</xdr:rowOff>
    </xdr:from>
    <xdr:to>
      <xdr:col>13</xdr:col>
      <xdr:colOff>605750</xdr:colOff>
      <xdr:row>21</xdr:row>
      <xdr:rowOff>698183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5409" y="10044862"/>
          <a:ext cx="1181099" cy="1083031"/>
        </a:xfrm>
        <a:prstGeom prst="rect">
          <a:avLst/>
        </a:prstGeom>
      </xdr:spPr>
    </xdr:pic>
    <xdr:clientData/>
  </xdr:twoCellAnchor>
  <xdr:twoCellAnchor editAs="oneCell">
    <xdr:from>
      <xdr:col>12</xdr:col>
      <xdr:colOff>1369964</xdr:colOff>
      <xdr:row>19</xdr:row>
      <xdr:rowOff>0</xdr:rowOff>
    </xdr:from>
    <xdr:to>
      <xdr:col>14</xdr:col>
      <xdr:colOff>616557</xdr:colOff>
      <xdr:row>21</xdr:row>
      <xdr:rowOff>723516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7237" y="9915621"/>
          <a:ext cx="1009873" cy="1108364"/>
        </a:xfrm>
        <a:prstGeom prst="rect">
          <a:avLst/>
        </a:prstGeom>
      </xdr:spPr>
    </xdr:pic>
    <xdr:clientData/>
  </xdr:twoCellAnchor>
  <xdr:twoCellAnchor editAs="oneCell">
    <xdr:from>
      <xdr:col>12</xdr:col>
      <xdr:colOff>1456927</xdr:colOff>
      <xdr:row>21</xdr:row>
      <xdr:rowOff>1091045</xdr:rowOff>
    </xdr:from>
    <xdr:to>
      <xdr:col>14</xdr:col>
      <xdr:colOff>47112</xdr:colOff>
      <xdr:row>22</xdr:row>
      <xdr:rowOff>1025168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4200" y="13156045"/>
          <a:ext cx="525780" cy="1030942"/>
        </a:xfrm>
        <a:prstGeom prst="rect">
          <a:avLst/>
        </a:prstGeom>
      </xdr:spPr>
    </xdr:pic>
    <xdr:clientData/>
  </xdr:twoCellAnchor>
  <xdr:twoCellAnchor editAs="oneCell">
    <xdr:from>
      <xdr:col>14</xdr:col>
      <xdr:colOff>72249</xdr:colOff>
      <xdr:row>22</xdr:row>
      <xdr:rowOff>38395</xdr:rowOff>
    </xdr:from>
    <xdr:to>
      <xdr:col>16</xdr:col>
      <xdr:colOff>254437</xdr:colOff>
      <xdr:row>22</xdr:row>
      <xdr:rowOff>992687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8082" y="13200213"/>
          <a:ext cx="1394460" cy="954292"/>
        </a:xfrm>
        <a:prstGeom prst="rect">
          <a:avLst/>
        </a:prstGeom>
      </xdr:spPr>
    </xdr:pic>
    <xdr:clientData/>
  </xdr:twoCellAnchor>
  <xdr:twoCellAnchor editAs="oneCell">
    <xdr:from>
      <xdr:col>12</xdr:col>
      <xdr:colOff>48106</xdr:colOff>
      <xdr:row>22</xdr:row>
      <xdr:rowOff>30262</xdr:rowOff>
    </xdr:from>
    <xdr:to>
      <xdr:col>13</xdr:col>
      <xdr:colOff>631920</xdr:colOff>
      <xdr:row>22</xdr:row>
      <xdr:rowOff>1018173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379" y="13192080"/>
          <a:ext cx="1257299" cy="987911"/>
        </a:xfrm>
        <a:prstGeom prst="rect">
          <a:avLst/>
        </a:prstGeom>
      </xdr:spPr>
    </xdr:pic>
    <xdr:clientData/>
  </xdr:twoCellAnchor>
  <xdr:twoCellAnchor editAs="oneCell">
    <xdr:from>
      <xdr:col>16</xdr:col>
      <xdr:colOff>327818</xdr:colOff>
      <xdr:row>21</xdr:row>
      <xdr:rowOff>1095415</xdr:rowOff>
    </xdr:from>
    <xdr:to>
      <xdr:col>18</xdr:col>
      <xdr:colOff>380465</xdr:colOff>
      <xdr:row>22</xdr:row>
      <xdr:rowOff>891481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5924" y="13160415"/>
          <a:ext cx="1264920" cy="892885"/>
        </a:xfrm>
        <a:prstGeom prst="rect">
          <a:avLst/>
        </a:prstGeom>
      </xdr:spPr>
    </xdr:pic>
    <xdr:clientData/>
  </xdr:twoCellAnchor>
  <xdr:twoCellAnchor editAs="oneCell">
    <xdr:from>
      <xdr:col>12</xdr:col>
      <xdr:colOff>221287</xdr:colOff>
      <xdr:row>21</xdr:row>
      <xdr:rowOff>42334</xdr:rowOff>
    </xdr:from>
    <xdr:to>
      <xdr:col>13</xdr:col>
      <xdr:colOff>633076</xdr:colOff>
      <xdr:row>21</xdr:row>
      <xdr:rowOff>1050637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8560" y="12107334"/>
          <a:ext cx="1085274" cy="1008303"/>
        </a:xfrm>
        <a:prstGeom prst="rect">
          <a:avLst/>
        </a:prstGeom>
      </xdr:spPr>
    </xdr:pic>
    <xdr:clientData/>
  </xdr:twoCellAnchor>
  <xdr:twoCellAnchor editAs="oneCell">
    <xdr:from>
      <xdr:col>12</xdr:col>
      <xdr:colOff>178954</xdr:colOff>
      <xdr:row>25</xdr:row>
      <xdr:rowOff>15394</xdr:rowOff>
    </xdr:from>
    <xdr:to>
      <xdr:col>15</xdr:col>
      <xdr:colOff>17320</xdr:colOff>
      <xdr:row>25</xdr:row>
      <xdr:rowOff>1200727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0393" y="9184409"/>
          <a:ext cx="1897305" cy="1185333"/>
        </a:xfrm>
        <a:prstGeom prst="rect">
          <a:avLst/>
        </a:prstGeom>
      </xdr:spPr>
    </xdr:pic>
    <xdr:clientData/>
  </xdr:twoCellAnchor>
  <xdr:twoCellAnchor editAs="oneCell">
    <xdr:from>
      <xdr:col>12</xdr:col>
      <xdr:colOff>394469</xdr:colOff>
      <xdr:row>27</xdr:row>
      <xdr:rowOff>0</xdr:rowOff>
    </xdr:from>
    <xdr:to>
      <xdr:col>14</xdr:col>
      <xdr:colOff>325198</xdr:colOff>
      <xdr:row>29</xdr:row>
      <xdr:rowOff>623454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1742" y="17037242"/>
          <a:ext cx="1085274" cy="1008303"/>
        </a:xfrm>
        <a:prstGeom prst="rect">
          <a:avLst/>
        </a:prstGeom>
      </xdr:spPr>
    </xdr:pic>
    <xdr:clientData/>
  </xdr:twoCellAnchor>
  <xdr:twoCellAnchor editAs="oneCell">
    <xdr:from>
      <xdr:col>12</xdr:col>
      <xdr:colOff>230908</xdr:colOff>
      <xdr:row>29</xdr:row>
      <xdr:rowOff>84666</xdr:rowOff>
    </xdr:from>
    <xdr:to>
      <xdr:col>14</xdr:col>
      <xdr:colOff>338666</xdr:colOff>
      <xdr:row>30</xdr:row>
      <xdr:rowOff>84666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8181" y="19086560"/>
          <a:ext cx="1262303" cy="1000606"/>
        </a:xfrm>
        <a:prstGeom prst="rect">
          <a:avLst/>
        </a:prstGeom>
      </xdr:spPr>
    </xdr:pic>
    <xdr:clientData/>
  </xdr:twoCellAnchor>
  <xdr:twoCellAnchor editAs="oneCell">
    <xdr:from>
      <xdr:col>12</xdr:col>
      <xdr:colOff>252075</xdr:colOff>
      <xdr:row>36</xdr:row>
      <xdr:rowOff>85277</xdr:rowOff>
    </xdr:from>
    <xdr:to>
      <xdr:col>15</xdr:col>
      <xdr:colOff>90168</xdr:colOff>
      <xdr:row>36</xdr:row>
      <xdr:rowOff>1187937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9348" y="25437171"/>
          <a:ext cx="1685365" cy="1102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131410</xdr:colOff>
      <xdr:row>36</xdr:row>
      <xdr:rowOff>130849</xdr:rowOff>
    </xdr:from>
    <xdr:to>
      <xdr:col>16</xdr:col>
      <xdr:colOff>219020</xdr:colOff>
      <xdr:row>37</xdr:row>
      <xdr:rowOff>39822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7243" y="25482743"/>
          <a:ext cx="1299882" cy="1111623"/>
        </a:xfrm>
        <a:prstGeom prst="rect">
          <a:avLst/>
        </a:prstGeom>
      </xdr:spPr>
    </xdr:pic>
    <xdr:clientData/>
  </xdr:twoCellAnchor>
  <xdr:twoCellAnchor editAs="oneCell">
    <xdr:from>
      <xdr:col>12</xdr:col>
      <xdr:colOff>265545</xdr:colOff>
      <xdr:row>35</xdr:row>
      <xdr:rowOff>0</xdr:rowOff>
    </xdr:from>
    <xdr:to>
      <xdr:col>14</xdr:col>
      <xdr:colOff>488758</xdr:colOff>
      <xdr:row>35</xdr:row>
      <xdr:rowOff>1423940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2818" y="22353925"/>
          <a:ext cx="1377758" cy="1423940"/>
        </a:xfrm>
        <a:prstGeom prst="rect">
          <a:avLst/>
        </a:prstGeom>
      </xdr:spPr>
    </xdr:pic>
    <xdr:clientData/>
  </xdr:twoCellAnchor>
  <xdr:twoCellAnchor editAs="oneCell">
    <xdr:from>
      <xdr:col>12</xdr:col>
      <xdr:colOff>175107</xdr:colOff>
      <xdr:row>35</xdr:row>
      <xdr:rowOff>51953</xdr:rowOff>
    </xdr:from>
    <xdr:to>
      <xdr:col>14</xdr:col>
      <xdr:colOff>398320</xdr:colOff>
      <xdr:row>35</xdr:row>
      <xdr:rowOff>1475893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2380" y="23893317"/>
          <a:ext cx="1377758" cy="1423940"/>
        </a:xfrm>
        <a:prstGeom prst="rect">
          <a:avLst/>
        </a:prstGeom>
      </xdr:spPr>
    </xdr:pic>
    <xdr:clientData/>
  </xdr:twoCellAnchor>
  <xdr:twoCellAnchor editAs="oneCell">
    <xdr:from>
      <xdr:col>13</xdr:col>
      <xdr:colOff>273243</xdr:colOff>
      <xdr:row>35</xdr:row>
      <xdr:rowOff>140470</xdr:rowOff>
    </xdr:from>
    <xdr:to>
      <xdr:col>15</xdr:col>
      <xdr:colOff>384849</xdr:colOff>
      <xdr:row>35</xdr:row>
      <xdr:rowOff>1441257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940" y="23981834"/>
          <a:ext cx="1323879" cy="1300787"/>
        </a:xfrm>
        <a:prstGeom prst="rect">
          <a:avLst/>
        </a:prstGeom>
      </xdr:spPr>
    </xdr:pic>
    <xdr:clientData/>
  </xdr:twoCellAnchor>
  <xdr:twoCellAnchor editAs="oneCell">
    <xdr:from>
      <xdr:col>16</xdr:col>
      <xdr:colOff>7697</xdr:colOff>
      <xdr:row>35</xdr:row>
      <xdr:rowOff>30786</xdr:rowOff>
    </xdr:from>
    <xdr:to>
      <xdr:col>18</xdr:col>
      <xdr:colOff>550334</xdr:colOff>
      <xdr:row>35</xdr:row>
      <xdr:rowOff>1354665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5803" y="23872150"/>
          <a:ext cx="1754910" cy="1323879"/>
        </a:xfrm>
        <a:prstGeom prst="rect">
          <a:avLst/>
        </a:prstGeom>
      </xdr:spPr>
    </xdr:pic>
    <xdr:clientData/>
  </xdr:twoCellAnchor>
  <xdr:twoCellAnchor editAs="oneCell">
    <xdr:from>
      <xdr:col>12</xdr:col>
      <xdr:colOff>98135</xdr:colOff>
      <xdr:row>40</xdr:row>
      <xdr:rowOff>0</xdr:rowOff>
    </xdr:from>
    <xdr:to>
      <xdr:col>13</xdr:col>
      <xdr:colOff>567650</xdr:colOff>
      <xdr:row>41</xdr:row>
      <xdr:rowOff>683296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5408" y="29458228"/>
          <a:ext cx="1143000" cy="1068145"/>
        </a:xfrm>
        <a:prstGeom prst="rect">
          <a:avLst/>
        </a:prstGeom>
      </xdr:spPr>
    </xdr:pic>
    <xdr:clientData/>
  </xdr:twoCellAnchor>
  <xdr:twoCellAnchor editAs="oneCell">
    <xdr:from>
      <xdr:col>12</xdr:col>
      <xdr:colOff>1364400</xdr:colOff>
      <xdr:row>40</xdr:row>
      <xdr:rowOff>0</xdr:rowOff>
    </xdr:from>
    <xdr:to>
      <xdr:col>14</xdr:col>
      <xdr:colOff>540284</xdr:colOff>
      <xdr:row>41</xdr:row>
      <xdr:rowOff>666711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673" y="29472781"/>
          <a:ext cx="929639" cy="1051560"/>
        </a:xfrm>
        <a:prstGeom prst="rect">
          <a:avLst/>
        </a:prstGeom>
      </xdr:spPr>
    </xdr:pic>
    <xdr:clientData/>
  </xdr:twoCellAnchor>
  <xdr:twoCellAnchor editAs="oneCell">
    <xdr:from>
      <xdr:col>12</xdr:col>
      <xdr:colOff>225136</xdr:colOff>
      <xdr:row>41</xdr:row>
      <xdr:rowOff>90439</xdr:rowOff>
    </xdr:from>
    <xdr:to>
      <xdr:col>15</xdr:col>
      <xdr:colOff>1277</xdr:colOff>
      <xdr:row>44</xdr:row>
      <xdr:rowOff>175645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2409" y="31869303"/>
          <a:ext cx="1565686" cy="1470660"/>
        </a:xfrm>
        <a:prstGeom prst="rect">
          <a:avLst/>
        </a:prstGeom>
      </xdr:spPr>
    </xdr:pic>
    <xdr:clientData/>
  </xdr:twoCellAnchor>
  <xdr:twoCellAnchor editAs="oneCell">
    <xdr:from>
      <xdr:col>13</xdr:col>
      <xdr:colOff>443531</xdr:colOff>
      <xdr:row>41</xdr:row>
      <xdr:rowOff>155786</xdr:rowOff>
    </xdr:from>
    <xdr:to>
      <xdr:col>15</xdr:col>
      <xdr:colOff>355880</xdr:colOff>
      <xdr:row>45</xdr:row>
      <xdr:rowOff>13396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3228" y="31934650"/>
          <a:ext cx="1124622" cy="1445111"/>
        </a:xfrm>
        <a:prstGeom prst="rect">
          <a:avLst/>
        </a:prstGeom>
      </xdr:spPr>
    </xdr:pic>
    <xdr:clientData/>
  </xdr:twoCellAnchor>
  <xdr:twoCellAnchor editAs="oneCell">
    <xdr:from>
      <xdr:col>15</xdr:col>
      <xdr:colOff>583540</xdr:colOff>
      <xdr:row>41</xdr:row>
      <xdr:rowOff>80817</xdr:rowOff>
    </xdr:from>
    <xdr:to>
      <xdr:col>18</xdr:col>
      <xdr:colOff>485009</xdr:colOff>
      <xdr:row>44</xdr:row>
      <xdr:rowOff>157058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5510" y="31859681"/>
          <a:ext cx="1719878" cy="1461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425256</xdr:colOff>
      <xdr:row>20</xdr:row>
      <xdr:rowOff>80664</xdr:rowOff>
    </xdr:from>
    <xdr:to>
      <xdr:col>14</xdr:col>
      <xdr:colOff>523970</xdr:colOff>
      <xdr:row>36</xdr:row>
      <xdr:rowOff>149244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ED316-326F-481E-9BCA-ECD5086B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4831" y="4519314"/>
          <a:ext cx="784514" cy="3116580"/>
        </a:xfrm>
        <a:prstGeom prst="rect">
          <a:avLst/>
        </a:prstGeom>
      </xdr:spPr>
    </xdr:pic>
    <xdr:clientData/>
  </xdr:twoCellAnchor>
  <xdr:twoCellAnchor editAs="oneCell">
    <xdr:from>
      <xdr:col>14</xdr:col>
      <xdr:colOff>586894</xdr:colOff>
      <xdr:row>20</xdr:row>
      <xdr:rowOff>194349</xdr:rowOff>
    </xdr:from>
    <xdr:to>
      <xdr:col>16</xdr:col>
      <xdr:colOff>159480</xdr:colOff>
      <xdr:row>37</xdr:row>
      <xdr:rowOff>63751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C448AE-B18D-48D6-A236-119993474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1794" y="4632999"/>
          <a:ext cx="944186" cy="3107902"/>
        </a:xfrm>
        <a:prstGeom prst="rect">
          <a:avLst/>
        </a:prstGeom>
      </xdr:spPr>
    </xdr:pic>
    <xdr:clientData/>
  </xdr:twoCellAnchor>
  <xdr:twoCellAnchor editAs="oneCell">
    <xdr:from>
      <xdr:col>12</xdr:col>
      <xdr:colOff>35097</xdr:colOff>
      <xdr:row>20</xdr:row>
      <xdr:rowOff>42024</xdr:rowOff>
    </xdr:from>
    <xdr:to>
      <xdr:col>13</xdr:col>
      <xdr:colOff>259887</xdr:colOff>
      <xdr:row>36</xdr:row>
      <xdr:rowOff>133464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D8F60C-418B-45D1-9E9C-90F45F94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7472" y="4480674"/>
          <a:ext cx="672465" cy="313944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1010765</xdr:colOff>
      <xdr:row>20</xdr:row>
      <xdr:rowOff>119412</xdr:rowOff>
    </xdr:from>
    <xdr:to>
      <xdr:col>14</xdr:col>
      <xdr:colOff>201756</xdr:colOff>
      <xdr:row>37</xdr:row>
      <xdr:rowOff>57393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34BDB2-9EEC-4E41-A5DF-9B8B4114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0690" y="4558062"/>
          <a:ext cx="886441" cy="3176481"/>
        </a:xfrm>
        <a:prstGeom prst="rect">
          <a:avLst/>
        </a:prstGeom>
      </xdr:spPr>
    </xdr:pic>
    <xdr:clientData/>
  </xdr:twoCellAnchor>
  <xdr:twoCellAnchor editAs="oneCell">
    <xdr:from>
      <xdr:col>14</xdr:col>
      <xdr:colOff>354061</xdr:colOff>
      <xdr:row>23</xdr:row>
      <xdr:rowOff>1371986</xdr:rowOff>
    </xdr:from>
    <xdr:to>
      <xdr:col>18</xdr:col>
      <xdr:colOff>523900</xdr:colOff>
      <xdr:row>44</xdr:row>
      <xdr:rowOff>14048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2CC71D-63A8-4A0C-9974-E29A9466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8961" y="6305936"/>
          <a:ext cx="2913039" cy="3823662"/>
        </a:xfrm>
        <a:prstGeom prst="rect">
          <a:avLst/>
        </a:prstGeom>
      </xdr:spPr>
    </xdr:pic>
    <xdr:clientData/>
  </xdr:twoCellAnchor>
  <xdr:twoCellAnchor editAs="oneCell">
    <xdr:from>
      <xdr:col>12</xdr:col>
      <xdr:colOff>252424</xdr:colOff>
      <xdr:row>24</xdr:row>
      <xdr:rowOff>3804</xdr:rowOff>
    </xdr:from>
    <xdr:to>
      <xdr:col>16</xdr:col>
      <xdr:colOff>166744</xdr:colOff>
      <xdr:row>43</xdr:row>
      <xdr:rowOff>87624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7975C1-C6A6-4997-B777-84D8DE35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4799" y="6309354"/>
          <a:ext cx="2428920" cy="370332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600363</xdr:colOff>
      <xdr:row>23</xdr:row>
      <xdr:rowOff>50031</xdr:rowOff>
    </xdr:from>
    <xdr:to>
      <xdr:col>18</xdr:col>
      <xdr:colOff>183116</xdr:colOff>
      <xdr:row>49</xdr:row>
      <xdr:rowOff>97656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063BFC-BBD4-4BD5-8861-A251E6842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938" y="5926956"/>
          <a:ext cx="3011753" cy="5000625"/>
        </a:xfrm>
        <a:prstGeom prst="rect">
          <a:avLst/>
        </a:prstGeom>
      </xdr:spPr>
    </xdr:pic>
    <xdr:clientData/>
  </xdr:twoCellAnchor>
  <xdr:twoCellAnchor editAs="oneCell">
    <xdr:from>
      <xdr:col>12</xdr:col>
      <xdr:colOff>364030</xdr:colOff>
      <xdr:row>23</xdr:row>
      <xdr:rowOff>9577</xdr:rowOff>
    </xdr:from>
    <xdr:to>
      <xdr:col>16</xdr:col>
      <xdr:colOff>306925</xdr:colOff>
      <xdr:row>49</xdr:row>
      <xdr:rowOff>64822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4FE4792-4D10-42C4-BFAF-9BF115A3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6405" y="5886502"/>
          <a:ext cx="2447970" cy="5008245"/>
        </a:xfrm>
        <a:prstGeom prst="rect">
          <a:avLst/>
        </a:prstGeom>
      </xdr:spPr>
    </xdr:pic>
    <xdr:clientData/>
  </xdr:twoCellAnchor>
  <xdr:twoCellAnchor editAs="oneCell">
    <xdr:from>
      <xdr:col>12</xdr:col>
      <xdr:colOff>463742</xdr:colOff>
      <xdr:row>25</xdr:row>
      <xdr:rowOff>125393</xdr:rowOff>
    </xdr:from>
    <xdr:to>
      <xdr:col>15</xdr:col>
      <xdr:colOff>39542</xdr:colOff>
      <xdr:row>36</xdr:row>
      <xdr:rowOff>90150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0AFB810-B042-43E7-8F59-C6982AC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6592" y="6840518"/>
          <a:ext cx="1414125" cy="2060257"/>
        </a:xfrm>
        <a:prstGeom prst="rect">
          <a:avLst/>
        </a:prstGeom>
      </xdr:spPr>
    </xdr:pic>
    <xdr:clientData/>
  </xdr:twoCellAnchor>
  <xdr:twoCellAnchor editAs="oneCell">
    <xdr:from>
      <xdr:col>14</xdr:col>
      <xdr:colOff>253904</xdr:colOff>
      <xdr:row>24</xdr:row>
      <xdr:rowOff>1458575</xdr:rowOff>
    </xdr:from>
    <xdr:to>
      <xdr:col>16</xdr:col>
      <xdr:colOff>89604</xdr:colOff>
      <xdr:row>36</xdr:row>
      <xdr:rowOff>33578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4E62BCA-5FA2-4BA8-AB5C-51DBDA4F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804" y="6716375"/>
          <a:ext cx="1207300" cy="2127828"/>
        </a:xfrm>
        <a:prstGeom prst="rect">
          <a:avLst/>
        </a:prstGeom>
      </xdr:spPr>
    </xdr:pic>
    <xdr:clientData/>
  </xdr:twoCellAnchor>
  <xdr:twoCellAnchor editAs="oneCell">
    <xdr:from>
      <xdr:col>17</xdr:col>
      <xdr:colOff>138822</xdr:colOff>
      <xdr:row>28</xdr:row>
      <xdr:rowOff>1014074</xdr:rowOff>
    </xdr:from>
    <xdr:to>
      <xdr:col>18</xdr:col>
      <xdr:colOff>77515</xdr:colOff>
      <xdr:row>39</xdr:row>
      <xdr:rowOff>90948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735593-4114-46BA-B7AB-01445749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697" y="8053049"/>
          <a:ext cx="624493" cy="1991524"/>
        </a:xfrm>
        <a:prstGeom prst="rect">
          <a:avLst/>
        </a:prstGeom>
      </xdr:spPr>
    </xdr:pic>
    <xdr:clientData/>
  </xdr:twoCellAnchor>
  <xdr:twoCellAnchor editAs="oneCell">
    <xdr:from>
      <xdr:col>12</xdr:col>
      <xdr:colOff>81869</xdr:colOff>
      <xdr:row>29</xdr:row>
      <xdr:rowOff>144228</xdr:rowOff>
    </xdr:from>
    <xdr:to>
      <xdr:col>14</xdr:col>
      <xdr:colOff>575880</xdr:colOff>
      <xdr:row>39</xdr:row>
      <xdr:rowOff>68665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6600A9E-4D54-4A7D-8938-30459869E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244" y="8192853"/>
          <a:ext cx="1627486" cy="1829437"/>
        </a:xfrm>
        <a:prstGeom prst="rect">
          <a:avLst/>
        </a:prstGeom>
      </xdr:spPr>
    </xdr:pic>
    <xdr:clientData/>
  </xdr:twoCellAnchor>
  <xdr:twoCellAnchor editAs="oneCell">
    <xdr:from>
      <xdr:col>14</xdr:col>
      <xdr:colOff>481061</xdr:colOff>
      <xdr:row>29</xdr:row>
      <xdr:rowOff>59126</xdr:rowOff>
    </xdr:from>
    <xdr:to>
      <xdr:col>16</xdr:col>
      <xdr:colOff>564187</xdr:colOff>
      <xdr:row>39</xdr:row>
      <xdr:rowOff>18337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B17F607-C561-4FE8-93AF-4DAF079F2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5961" y="8107751"/>
          <a:ext cx="1454726" cy="1864211"/>
        </a:xfrm>
        <a:prstGeom prst="rect">
          <a:avLst/>
        </a:prstGeom>
      </xdr:spPr>
    </xdr:pic>
    <xdr:clientData/>
  </xdr:twoCellAnchor>
  <xdr:twoCellAnchor editAs="oneCell">
    <xdr:from>
      <xdr:col>12</xdr:col>
      <xdr:colOff>1338045</xdr:colOff>
      <xdr:row>29</xdr:row>
      <xdr:rowOff>85188</xdr:rowOff>
    </xdr:from>
    <xdr:to>
      <xdr:col>15</xdr:col>
      <xdr:colOff>220080</xdr:colOff>
      <xdr:row>38</xdr:row>
      <xdr:rowOff>139873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406C30-97C8-4002-8086-C636BCC4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4120" y="8133813"/>
          <a:ext cx="1587135" cy="1769185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211666</xdr:colOff>
      <xdr:row>27</xdr:row>
      <xdr:rowOff>186652</xdr:rowOff>
    </xdr:from>
    <xdr:to>
      <xdr:col>14</xdr:col>
      <xdr:colOff>163465</xdr:colOff>
      <xdr:row>42</xdr:row>
      <xdr:rowOff>116706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F38B2C0-D653-4006-B4B2-DF9467FF7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4041" y="7282777"/>
          <a:ext cx="1094799" cy="2787554"/>
        </a:xfrm>
        <a:prstGeom prst="rect">
          <a:avLst/>
        </a:prstGeom>
      </xdr:spPr>
    </xdr:pic>
    <xdr:clientData/>
  </xdr:twoCellAnchor>
  <xdr:twoCellAnchor editAs="oneCell">
    <xdr:from>
      <xdr:col>12</xdr:col>
      <xdr:colOff>236682</xdr:colOff>
      <xdr:row>32</xdr:row>
      <xdr:rowOff>82742</xdr:rowOff>
    </xdr:from>
    <xdr:to>
      <xdr:col>15</xdr:col>
      <xdr:colOff>345596</xdr:colOff>
      <xdr:row>49</xdr:row>
      <xdr:rowOff>106025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F5C1AD1-9D6E-4099-95E5-E0F0625C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9057" y="8988617"/>
          <a:ext cx="1928189" cy="3261783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36</xdr:row>
      <xdr:rowOff>65425</xdr:rowOff>
    </xdr:from>
    <xdr:to>
      <xdr:col>14</xdr:col>
      <xdr:colOff>317212</xdr:colOff>
      <xdr:row>46</xdr:row>
      <xdr:rowOff>92653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850390A-DC7A-4622-851F-56C2E4C87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8738" y="10542925"/>
          <a:ext cx="1104324" cy="1932228"/>
        </a:xfrm>
        <a:prstGeom prst="rect">
          <a:avLst/>
        </a:prstGeom>
      </xdr:spPr>
    </xdr:pic>
    <xdr:clientData/>
  </xdr:twoCellAnchor>
  <xdr:twoCellAnchor editAs="oneCell">
    <xdr:from>
      <xdr:col>12</xdr:col>
      <xdr:colOff>57726</xdr:colOff>
      <xdr:row>42</xdr:row>
      <xdr:rowOff>219363</xdr:rowOff>
    </xdr:from>
    <xdr:to>
      <xdr:col>14</xdr:col>
      <xdr:colOff>186554</xdr:colOff>
      <xdr:row>53</xdr:row>
      <xdr:rowOff>55610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6089AA3-964F-43F1-B77D-945879F2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0101" y="12249438"/>
          <a:ext cx="1271828" cy="1960322"/>
        </a:xfrm>
        <a:prstGeom prst="rect">
          <a:avLst/>
        </a:prstGeom>
      </xdr:spPr>
    </xdr:pic>
    <xdr:clientData/>
  </xdr:twoCellAnchor>
  <xdr:twoCellAnchor editAs="oneCell">
    <xdr:from>
      <xdr:col>12</xdr:col>
      <xdr:colOff>78893</xdr:colOff>
      <xdr:row>55</xdr:row>
      <xdr:rowOff>8308</xdr:rowOff>
    </xdr:from>
    <xdr:to>
      <xdr:col>15</xdr:col>
      <xdr:colOff>168484</xdr:colOff>
      <xdr:row>68</xdr:row>
      <xdr:rowOff>25118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00A5C60-1B75-4E95-9510-44B635F39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268" y="16372258"/>
          <a:ext cx="1918391" cy="2493310"/>
        </a:xfrm>
        <a:prstGeom prst="rect">
          <a:avLst/>
        </a:prstGeom>
      </xdr:spPr>
    </xdr:pic>
    <xdr:clientData/>
  </xdr:twoCellAnchor>
  <xdr:twoCellAnchor editAs="oneCell">
    <xdr:from>
      <xdr:col>13</xdr:col>
      <xdr:colOff>391182</xdr:colOff>
      <xdr:row>55</xdr:row>
      <xdr:rowOff>34636</xdr:rowOff>
    </xdr:from>
    <xdr:to>
      <xdr:col>15</xdr:col>
      <xdr:colOff>516891</xdr:colOff>
      <xdr:row>68</xdr:row>
      <xdr:rowOff>60409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EB9C5EE-7C2A-4066-8B27-8CFB69F1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757" y="16398586"/>
          <a:ext cx="1497309" cy="2502273"/>
        </a:xfrm>
        <a:prstGeom prst="rect">
          <a:avLst/>
        </a:prstGeom>
      </xdr:spPr>
    </xdr:pic>
    <xdr:clientData/>
  </xdr:twoCellAnchor>
  <xdr:twoCellAnchor editAs="oneCell">
    <xdr:from>
      <xdr:col>12</xdr:col>
      <xdr:colOff>198197</xdr:colOff>
      <xdr:row>53</xdr:row>
      <xdr:rowOff>71197</xdr:rowOff>
    </xdr:from>
    <xdr:to>
      <xdr:col>14</xdr:col>
      <xdr:colOff>627881</xdr:colOff>
      <xdr:row>82</xdr:row>
      <xdr:rowOff>37812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BF4F218-6009-44AD-8CB8-862CDE4D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572" y="15187372"/>
          <a:ext cx="1563159" cy="5491115"/>
        </a:xfrm>
        <a:prstGeom prst="rect">
          <a:avLst/>
        </a:prstGeom>
      </xdr:spPr>
    </xdr:pic>
    <xdr:clientData/>
  </xdr:twoCellAnchor>
  <xdr:twoCellAnchor editAs="oneCell">
    <xdr:from>
      <xdr:col>16</xdr:col>
      <xdr:colOff>502229</xdr:colOff>
      <xdr:row>53</xdr:row>
      <xdr:rowOff>1524000</xdr:rowOff>
    </xdr:from>
    <xdr:to>
      <xdr:col>19</xdr:col>
      <xdr:colOff>118728</xdr:colOff>
      <xdr:row>75</xdr:row>
      <xdr:rowOff>160771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8F2F3F5-8290-446D-8443-2A80865F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7779" y="15649575"/>
          <a:ext cx="1673899" cy="4161271"/>
        </a:xfrm>
        <a:prstGeom prst="rect">
          <a:avLst/>
        </a:prstGeom>
      </xdr:spPr>
    </xdr:pic>
    <xdr:clientData/>
  </xdr:twoCellAnchor>
  <xdr:twoCellAnchor editAs="oneCell">
    <xdr:from>
      <xdr:col>13</xdr:col>
      <xdr:colOff>359833</xdr:colOff>
      <xdr:row>54</xdr:row>
      <xdr:rowOff>63501</xdr:rowOff>
    </xdr:from>
    <xdr:to>
      <xdr:col>15</xdr:col>
      <xdr:colOff>509539</xdr:colOff>
      <xdr:row>75</xdr:row>
      <xdr:rowOff>78413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9254174-8D5E-4B5F-BC10-A3998C96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9408" y="15713076"/>
          <a:ext cx="1521306" cy="4015412"/>
        </a:xfrm>
        <a:prstGeom prst="rect">
          <a:avLst/>
        </a:prstGeom>
      </xdr:spPr>
    </xdr:pic>
    <xdr:clientData/>
  </xdr:twoCellAnchor>
  <xdr:twoCellAnchor editAs="oneCell">
    <xdr:from>
      <xdr:col>12</xdr:col>
      <xdr:colOff>84667</xdr:colOff>
      <xdr:row>53</xdr:row>
      <xdr:rowOff>1377756</xdr:rowOff>
    </xdr:from>
    <xdr:to>
      <xdr:col>15</xdr:col>
      <xdr:colOff>253328</xdr:colOff>
      <xdr:row>76</xdr:row>
      <xdr:rowOff>9716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A94F3CA-969C-421A-928A-F5831F7D7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7042" y="15646206"/>
          <a:ext cx="1987936" cy="4204085"/>
        </a:xfrm>
        <a:prstGeom prst="rect">
          <a:avLst/>
        </a:prstGeom>
      </xdr:spPr>
    </xdr:pic>
    <xdr:clientData/>
  </xdr:twoCellAnchor>
  <xdr:twoCellAnchor editAs="oneCell">
    <xdr:from>
      <xdr:col>12</xdr:col>
      <xdr:colOff>559954</xdr:colOff>
      <xdr:row>63</xdr:row>
      <xdr:rowOff>36561</xdr:rowOff>
    </xdr:from>
    <xdr:to>
      <xdr:col>15</xdr:col>
      <xdr:colOff>21455</xdr:colOff>
      <xdr:row>75</xdr:row>
      <xdr:rowOff>37906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82170CF-2A50-4811-9E57-7D450458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7554" y="19810461"/>
          <a:ext cx="1395076" cy="2287345"/>
        </a:xfrm>
        <a:prstGeom prst="rect">
          <a:avLst/>
        </a:prstGeom>
      </xdr:spPr>
    </xdr:pic>
    <xdr:clientData/>
  </xdr:twoCellAnchor>
  <xdr:twoCellAnchor editAs="oneCell">
    <xdr:from>
      <xdr:col>14</xdr:col>
      <xdr:colOff>17432</xdr:colOff>
      <xdr:row>63</xdr:row>
      <xdr:rowOff>137705</xdr:rowOff>
    </xdr:from>
    <xdr:to>
      <xdr:col>15</xdr:col>
      <xdr:colOff>359984</xdr:colOff>
      <xdr:row>82</xdr:row>
      <xdr:rowOff>170090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3352263-5278-46AD-B61F-EE31DBA7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2332" y="19911605"/>
          <a:ext cx="1028352" cy="3651885"/>
        </a:xfrm>
        <a:prstGeom prst="rect">
          <a:avLst/>
        </a:prstGeom>
      </xdr:spPr>
    </xdr:pic>
    <xdr:clientData/>
  </xdr:twoCellAnchor>
  <xdr:twoCellAnchor editAs="oneCell">
    <xdr:from>
      <xdr:col>12</xdr:col>
      <xdr:colOff>619606</xdr:colOff>
      <xdr:row>69</xdr:row>
      <xdr:rowOff>148166</xdr:rowOff>
    </xdr:from>
    <xdr:to>
      <xdr:col>15</xdr:col>
      <xdr:colOff>535832</xdr:colOff>
      <xdr:row>86</xdr:row>
      <xdr:rowOff>79143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3ABD081-A51E-401C-A335-435E6562E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0056" y="22665266"/>
          <a:ext cx="1897426" cy="3112327"/>
        </a:xfrm>
        <a:prstGeom prst="rect">
          <a:avLst/>
        </a:prstGeom>
      </xdr:spPr>
    </xdr:pic>
    <xdr:clientData/>
  </xdr:twoCellAnchor>
  <xdr:twoCellAnchor editAs="oneCell">
    <xdr:from>
      <xdr:col>14</xdr:col>
      <xdr:colOff>491637</xdr:colOff>
      <xdr:row>69</xdr:row>
      <xdr:rowOff>98058</xdr:rowOff>
    </xdr:from>
    <xdr:to>
      <xdr:col>16</xdr:col>
      <xdr:colOff>442086</xdr:colOff>
      <xdr:row>86</xdr:row>
      <xdr:rowOff>119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6434984-5D45-47C7-A419-8B767DBF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6537" y="22615158"/>
          <a:ext cx="1322049" cy="3083411"/>
        </a:xfrm>
        <a:prstGeom prst="rect">
          <a:avLst/>
        </a:prstGeom>
      </xdr:spPr>
    </xdr:pic>
    <xdr:clientData/>
  </xdr:twoCellAnchor>
  <xdr:twoCellAnchor editAs="oneCell">
    <xdr:from>
      <xdr:col>17</xdr:col>
      <xdr:colOff>121722</xdr:colOff>
      <xdr:row>69</xdr:row>
      <xdr:rowOff>51954</xdr:rowOff>
    </xdr:from>
    <xdr:to>
      <xdr:col>20</xdr:col>
      <xdr:colOff>80341</xdr:colOff>
      <xdr:row>85</xdr:row>
      <xdr:rowOff>122999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2F0411F-57C0-400E-9AE7-F92525B77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2597" y="22569054"/>
          <a:ext cx="2016019" cy="30904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704272</xdr:colOff>
      <xdr:row>22</xdr:row>
      <xdr:rowOff>90286</xdr:rowOff>
    </xdr:from>
    <xdr:to>
      <xdr:col>13</xdr:col>
      <xdr:colOff>180397</xdr:colOff>
      <xdr:row>27</xdr:row>
      <xdr:rowOff>568441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EB06A-6175-4A50-8FA7-4B0315D6E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2572" y="4967086"/>
          <a:ext cx="685800" cy="944880"/>
        </a:xfrm>
        <a:prstGeom prst="rect">
          <a:avLst/>
        </a:prstGeom>
      </xdr:spPr>
    </xdr:pic>
    <xdr:clientData/>
  </xdr:twoCellAnchor>
  <xdr:twoCellAnchor editAs="oneCell">
    <xdr:from>
      <xdr:col>14</xdr:col>
      <xdr:colOff>182803</xdr:colOff>
      <xdr:row>22</xdr:row>
      <xdr:rowOff>11545</xdr:rowOff>
    </xdr:from>
    <xdr:to>
      <xdr:col>15</xdr:col>
      <xdr:colOff>332951</xdr:colOff>
      <xdr:row>26</xdr:row>
      <xdr:rowOff>186805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9D1ECE-9BB5-4267-8F7B-54A50703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2828" y="4888345"/>
          <a:ext cx="835948" cy="937260"/>
        </a:xfrm>
        <a:prstGeom prst="rect">
          <a:avLst/>
        </a:prstGeom>
      </xdr:spPr>
    </xdr:pic>
    <xdr:clientData/>
  </xdr:twoCellAnchor>
  <xdr:twoCellAnchor editAs="oneCell">
    <xdr:from>
      <xdr:col>12</xdr:col>
      <xdr:colOff>83202</xdr:colOff>
      <xdr:row>22</xdr:row>
      <xdr:rowOff>22782</xdr:rowOff>
    </xdr:from>
    <xdr:to>
      <xdr:col>12</xdr:col>
      <xdr:colOff>755667</xdr:colOff>
      <xdr:row>27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7C15E7-554B-490D-9B3D-11147C0F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2502" y="4899582"/>
          <a:ext cx="672465" cy="2796618"/>
        </a:xfrm>
        <a:prstGeom prst="rect">
          <a:avLst/>
        </a:prstGeom>
      </xdr:spPr>
    </xdr:pic>
    <xdr:clientData/>
  </xdr:twoCellAnchor>
  <xdr:twoCellAnchor editAs="oneCell">
    <xdr:from>
      <xdr:col>13</xdr:col>
      <xdr:colOff>67885</xdr:colOff>
      <xdr:row>22</xdr:row>
      <xdr:rowOff>13578</xdr:rowOff>
    </xdr:from>
    <xdr:to>
      <xdr:col>14</xdr:col>
      <xdr:colOff>134213</xdr:colOff>
      <xdr:row>27</xdr:row>
      <xdr:rowOff>552692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06B628-4802-4149-BCD1-C55EAC31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2585" y="4890378"/>
          <a:ext cx="752128" cy="1005839"/>
        </a:xfrm>
        <a:prstGeom prst="rect">
          <a:avLst/>
        </a:prstGeom>
      </xdr:spPr>
    </xdr:pic>
    <xdr:clientData/>
  </xdr:twoCellAnchor>
  <xdr:twoCellAnchor editAs="oneCell">
    <xdr:from>
      <xdr:col>12</xdr:col>
      <xdr:colOff>46180</xdr:colOff>
      <xdr:row>27</xdr:row>
      <xdr:rowOff>44257</xdr:rowOff>
    </xdr:from>
    <xdr:to>
      <xdr:col>15</xdr:col>
      <xdr:colOff>305304</xdr:colOff>
      <xdr:row>39</xdr:row>
      <xdr:rowOff>168082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BE1CFB-85C8-4EF4-8EDF-01205AD6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4480" y="8045257"/>
          <a:ext cx="2821349" cy="1409700"/>
        </a:xfrm>
        <a:prstGeom prst="rect">
          <a:avLst/>
        </a:prstGeom>
      </xdr:spPr>
    </xdr:pic>
    <xdr:clientData/>
  </xdr:twoCellAnchor>
  <xdr:twoCellAnchor editAs="oneCell">
    <xdr:from>
      <xdr:col>14</xdr:col>
      <xdr:colOff>560304</xdr:colOff>
      <xdr:row>27</xdr:row>
      <xdr:rowOff>71152</xdr:rowOff>
    </xdr:from>
    <xdr:to>
      <xdr:col>18</xdr:col>
      <xdr:colOff>271039</xdr:colOff>
      <xdr:row>39</xdr:row>
      <xdr:rowOff>202597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B6160E7-9BD8-4BF7-8EC4-C7282A07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0329" y="8072152"/>
          <a:ext cx="2453935" cy="1417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119303</xdr:colOff>
      <xdr:row>26</xdr:row>
      <xdr:rowOff>40410</xdr:rowOff>
    </xdr:from>
    <xdr:to>
      <xdr:col>15</xdr:col>
      <xdr:colOff>378427</xdr:colOff>
      <xdr:row>39</xdr:row>
      <xdr:rowOff>269010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C3D3E6-9AD9-46B5-A678-341BDAC2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7603" y="6545985"/>
          <a:ext cx="2821349" cy="1409700"/>
        </a:xfrm>
        <a:prstGeom prst="rect">
          <a:avLst/>
        </a:prstGeom>
      </xdr:spPr>
    </xdr:pic>
    <xdr:clientData/>
  </xdr:twoCellAnchor>
  <xdr:twoCellAnchor editAs="oneCell">
    <xdr:from>
      <xdr:col>14</xdr:col>
      <xdr:colOff>585318</xdr:colOff>
      <xdr:row>26</xdr:row>
      <xdr:rowOff>76926</xdr:rowOff>
    </xdr:from>
    <xdr:to>
      <xdr:col>18</xdr:col>
      <xdr:colOff>305578</xdr:colOff>
      <xdr:row>39</xdr:row>
      <xdr:rowOff>317283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E27734-C49B-44F9-9696-3523002E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343" y="6582501"/>
          <a:ext cx="2463460" cy="142145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29</xdr:row>
      <xdr:rowOff>146013</xdr:rowOff>
    </xdr:from>
    <xdr:to>
      <xdr:col>12</xdr:col>
      <xdr:colOff>1028700</xdr:colOff>
      <xdr:row>33</xdr:row>
      <xdr:rowOff>1078242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FCB8F9-2373-4F6A-B456-6295A8038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9070938"/>
          <a:ext cx="838200" cy="1884729"/>
        </a:xfrm>
        <a:prstGeom prst="rect">
          <a:avLst/>
        </a:prstGeom>
      </xdr:spPr>
    </xdr:pic>
    <xdr:clientData/>
  </xdr:twoCellAnchor>
  <xdr:twoCellAnchor editAs="oneCell">
    <xdr:from>
      <xdr:col>12</xdr:col>
      <xdr:colOff>1379584</xdr:colOff>
      <xdr:row>28</xdr:row>
      <xdr:rowOff>63500</xdr:rowOff>
    </xdr:from>
    <xdr:to>
      <xdr:col>14</xdr:col>
      <xdr:colOff>625696</xdr:colOff>
      <xdr:row>35</xdr:row>
      <xdr:rowOff>105064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F8EF0F-76F8-4CB4-A97A-1E30F75B1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7884" y="11074400"/>
          <a:ext cx="1313037" cy="1108364"/>
        </a:xfrm>
        <a:prstGeom prst="rect">
          <a:avLst/>
        </a:prstGeom>
      </xdr:spPr>
    </xdr:pic>
    <xdr:clientData/>
  </xdr:twoCellAnchor>
  <xdr:twoCellAnchor editAs="oneCell">
    <xdr:from>
      <xdr:col>13</xdr:col>
      <xdr:colOff>379352</xdr:colOff>
      <xdr:row>34</xdr:row>
      <xdr:rowOff>23091</xdr:rowOff>
    </xdr:from>
    <xdr:to>
      <xdr:col>14</xdr:col>
      <xdr:colOff>308520</xdr:colOff>
      <xdr:row>39</xdr:row>
      <xdr:rowOff>492058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8D380A2-DCB0-4F53-92E8-C1924B82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4052" y="14253441"/>
          <a:ext cx="614968" cy="1030942"/>
        </a:xfrm>
        <a:prstGeom prst="rect">
          <a:avLst/>
        </a:prstGeom>
      </xdr:spPr>
    </xdr:pic>
    <xdr:clientData/>
  </xdr:twoCellAnchor>
  <xdr:twoCellAnchor editAs="oneCell">
    <xdr:from>
      <xdr:col>14</xdr:col>
      <xdr:colOff>303157</xdr:colOff>
      <xdr:row>34</xdr:row>
      <xdr:rowOff>76880</xdr:rowOff>
    </xdr:from>
    <xdr:to>
      <xdr:col>16</xdr:col>
      <xdr:colOff>504395</xdr:colOff>
      <xdr:row>39</xdr:row>
      <xdr:rowOff>469197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296DC72-AAC4-4FCB-8AD3-6C61D038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3182" y="14307230"/>
          <a:ext cx="1572838" cy="954292"/>
        </a:xfrm>
        <a:prstGeom prst="rect">
          <a:avLst/>
        </a:prstGeom>
      </xdr:spPr>
    </xdr:pic>
    <xdr:clientData/>
  </xdr:twoCellAnchor>
  <xdr:twoCellAnchor editAs="oneCell">
    <xdr:from>
      <xdr:col>12</xdr:col>
      <xdr:colOff>307879</xdr:colOff>
      <xdr:row>34</xdr:row>
      <xdr:rowOff>145717</xdr:rowOff>
    </xdr:from>
    <xdr:to>
      <xdr:col>13</xdr:col>
      <xdr:colOff>588529</xdr:colOff>
      <xdr:row>39</xdr:row>
      <xdr:rowOff>570498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268A88-BDD1-444A-8A09-63CB90D30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6179" y="14376067"/>
          <a:ext cx="1471275" cy="986756"/>
        </a:xfrm>
        <a:prstGeom prst="rect">
          <a:avLst/>
        </a:prstGeom>
      </xdr:spPr>
    </xdr:pic>
    <xdr:clientData/>
  </xdr:twoCellAnchor>
  <xdr:twoCellAnchor editAs="oneCell">
    <xdr:from>
      <xdr:col>16</xdr:col>
      <xdr:colOff>491379</xdr:colOff>
      <xdr:row>34</xdr:row>
      <xdr:rowOff>27461</xdr:rowOff>
    </xdr:from>
    <xdr:to>
      <xdr:col>18</xdr:col>
      <xdr:colOff>563076</xdr:colOff>
      <xdr:row>39</xdr:row>
      <xdr:rowOff>358371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0A49767-DD8B-4DC4-AA63-E5D4310FB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2054" y="14257811"/>
          <a:ext cx="1443297" cy="892885"/>
        </a:xfrm>
        <a:prstGeom prst="rect">
          <a:avLst/>
        </a:prstGeom>
      </xdr:spPr>
    </xdr:pic>
    <xdr:clientData/>
  </xdr:twoCellAnchor>
  <xdr:twoCellAnchor editAs="oneCell">
    <xdr:from>
      <xdr:col>12</xdr:col>
      <xdr:colOff>423332</xdr:colOff>
      <xdr:row>33</xdr:row>
      <xdr:rowOff>51956</xdr:rowOff>
    </xdr:from>
    <xdr:to>
      <xdr:col>13</xdr:col>
      <xdr:colOff>233449</xdr:colOff>
      <xdr:row>34</xdr:row>
      <xdr:rowOff>266700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4C6DD4-7427-424B-AFAC-3E061099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2632" y="9929381"/>
          <a:ext cx="1019792" cy="1310119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39</xdr:row>
      <xdr:rowOff>542926</xdr:rowOff>
    </xdr:from>
    <xdr:to>
      <xdr:col>13</xdr:col>
      <xdr:colOff>590549</xdr:colOff>
      <xdr:row>43</xdr:row>
      <xdr:rowOff>533401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93FCA13-6ECF-4269-AE5E-FB2987E23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5" y="12954001"/>
          <a:ext cx="1333499" cy="1200150"/>
        </a:xfrm>
        <a:prstGeom prst="rect">
          <a:avLst/>
        </a:prstGeom>
      </xdr:spPr>
    </xdr:pic>
    <xdr:clientData/>
  </xdr:twoCellAnchor>
  <xdr:twoCellAnchor editAs="oneCell">
    <xdr:from>
      <xdr:col>14</xdr:col>
      <xdr:colOff>117475</xdr:colOff>
      <xdr:row>42</xdr:row>
      <xdr:rowOff>132965</xdr:rowOff>
    </xdr:from>
    <xdr:to>
      <xdr:col>15</xdr:col>
      <xdr:colOff>526474</xdr:colOff>
      <xdr:row>49</xdr:row>
      <xdr:rowOff>224944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2743E2-B7F6-4063-81A9-03E92BFF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1775" y="13782290"/>
          <a:ext cx="1104324" cy="1930304"/>
        </a:xfrm>
        <a:prstGeom prst="rect">
          <a:avLst/>
        </a:prstGeom>
      </xdr:spPr>
    </xdr:pic>
    <xdr:clientData/>
  </xdr:twoCellAnchor>
  <xdr:twoCellAnchor editAs="oneCell">
    <xdr:from>
      <xdr:col>12</xdr:col>
      <xdr:colOff>57726</xdr:colOff>
      <xdr:row>49</xdr:row>
      <xdr:rowOff>55803</xdr:rowOff>
    </xdr:from>
    <xdr:to>
      <xdr:col>13</xdr:col>
      <xdr:colOff>119879</xdr:colOff>
      <xdr:row>54</xdr:row>
      <xdr:rowOff>103909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5F251B7-F3EA-465E-A7A8-446D5335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6026" y="20096403"/>
          <a:ext cx="1262303" cy="1000606"/>
        </a:xfrm>
        <a:prstGeom prst="rect">
          <a:avLst/>
        </a:prstGeom>
      </xdr:spPr>
    </xdr:pic>
    <xdr:clientData/>
  </xdr:twoCellAnchor>
  <xdr:twoCellAnchor editAs="oneCell">
    <xdr:from>
      <xdr:col>12</xdr:col>
      <xdr:colOff>175105</xdr:colOff>
      <xdr:row>63</xdr:row>
      <xdr:rowOff>94898</xdr:rowOff>
    </xdr:from>
    <xdr:to>
      <xdr:col>14</xdr:col>
      <xdr:colOff>198021</xdr:colOff>
      <xdr:row>69</xdr:row>
      <xdr:rowOff>54558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4717927-64AA-4E7B-9F06-EB72A30C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405" y="27755498"/>
          <a:ext cx="1899341" cy="1102660"/>
        </a:xfrm>
        <a:prstGeom prst="rect">
          <a:avLst/>
        </a:prstGeom>
      </xdr:spPr>
    </xdr:pic>
    <xdr:clientData/>
  </xdr:twoCellAnchor>
  <xdr:twoCellAnchor editAs="oneCell">
    <xdr:from>
      <xdr:col>14</xdr:col>
      <xdr:colOff>35197</xdr:colOff>
      <xdr:row>63</xdr:row>
      <xdr:rowOff>44258</xdr:rowOff>
    </xdr:from>
    <xdr:to>
      <xdr:col>16</xdr:col>
      <xdr:colOff>141857</xdr:colOff>
      <xdr:row>69</xdr:row>
      <xdr:rowOff>12881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32CDFFE-4A2D-438A-BA28-CBBE829D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222" y="27704858"/>
          <a:ext cx="1478260" cy="1111623"/>
        </a:xfrm>
        <a:prstGeom prst="rect">
          <a:avLst/>
        </a:prstGeom>
      </xdr:spPr>
    </xdr:pic>
    <xdr:clientData/>
  </xdr:twoCellAnchor>
  <xdr:twoCellAnchor editAs="oneCell">
    <xdr:from>
      <xdr:col>12</xdr:col>
      <xdr:colOff>140469</xdr:colOff>
      <xdr:row>60</xdr:row>
      <xdr:rowOff>157788</xdr:rowOff>
    </xdr:from>
    <xdr:to>
      <xdr:col>13</xdr:col>
      <xdr:colOff>541578</xdr:colOff>
      <xdr:row>67</xdr:row>
      <xdr:rowOff>99484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781B281-D3D7-43C6-9D31-718013D38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769" y="24865638"/>
          <a:ext cx="1591734" cy="1427596"/>
        </a:xfrm>
        <a:prstGeom prst="rect">
          <a:avLst/>
        </a:prstGeom>
      </xdr:spPr>
    </xdr:pic>
    <xdr:clientData/>
  </xdr:twoCellAnchor>
  <xdr:twoCellAnchor editAs="oneCell">
    <xdr:from>
      <xdr:col>12</xdr:col>
      <xdr:colOff>300182</xdr:colOff>
      <xdr:row>61</xdr:row>
      <xdr:rowOff>32712</xdr:rowOff>
    </xdr:from>
    <xdr:to>
      <xdr:col>14</xdr:col>
      <xdr:colOff>5966</xdr:colOff>
      <xdr:row>65</xdr:row>
      <xdr:rowOff>328083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149D959-2B5F-4B21-81EF-76D38D7C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482" y="26283612"/>
          <a:ext cx="1591734" cy="14193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282864</xdr:colOff>
      <xdr:row>61</xdr:row>
      <xdr:rowOff>34637</xdr:rowOff>
    </xdr:from>
    <xdr:to>
      <xdr:col>15</xdr:col>
      <xdr:colOff>413520</xdr:colOff>
      <xdr:row>65</xdr:row>
      <xdr:rowOff>211474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8A1D114-5B29-4FA0-80A1-CBA938141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7564" y="26285537"/>
          <a:ext cx="1502256" cy="1300787"/>
        </a:xfrm>
        <a:prstGeom prst="rect">
          <a:avLst/>
        </a:prstGeom>
      </xdr:spPr>
    </xdr:pic>
    <xdr:clientData/>
  </xdr:twoCellAnchor>
  <xdr:twoCellAnchor editAs="oneCell">
    <xdr:from>
      <xdr:col>15</xdr:col>
      <xdr:colOff>527243</xdr:colOff>
      <xdr:row>61</xdr:row>
      <xdr:rowOff>40407</xdr:rowOff>
    </xdr:from>
    <xdr:to>
      <xdr:col>18</xdr:col>
      <xdr:colOff>492319</xdr:colOff>
      <xdr:row>65</xdr:row>
      <xdr:rowOff>240336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20BC276-09A3-453C-8916-30C2848DE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2593" y="26291307"/>
          <a:ext cx="2022476" cy="1323879"/>
        </a:xfrm>
        <a:prstGeom prst="rect">
          <a:avLst/>
        </a:prstGeom>
      </xdr:spPr>
    </xdr:pic>
    <xdr:clientData/>
  </xdr:twoCellAnchor>
  <xdr:twoCellAnchor editAs="oneCell">
    <xdr:from>
      <xdr:col>12</xdr:col>
      <xdr:colOff>232833</xdr:colOff>
      <xdr:row>71</xdr:row>
      <xdr:rowOff>132773</xdr:rowOff>
    </xdr:from>
    <xdr:to>
      <xdr:col>13</xdr:col>
      <xdr:colOff>185208</xdr:colOff>
      <xdr:row>77</xdr:row>
      <xdr:rowOff>55995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E89EB58-1702-49C5-BECC-A1EF06BE0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1133" y="31831973"/>
          <a:ext cx="1143000" cy="1066222"/>
        </a:xfrm>
        <a:prstGeom prst="rect">
          <a:avLst/>
        </a:prstGeom>
      </xdr:spPr>
    </xdr:pic>
    <xdr:clientData/>
  </xdr:twoCellAnchor>
  <xdr:twoCellAnchor editAs="oneCell">
    <xdr:from>
      <xdr:col>13</xdr:col>
      <xdr:colOff>123264</xdr:colOff>
      <xdr:row>71</xdr:row>
      <xdr:rowOff>79978</xdr:rowOff>
    </xdr:from>
    <xdr:to>
      <xdr:col>14</xdr:col>
      <xdr:colOff>456291</xdr:colOff>
      <xdr:row>76</xdr:row>
      <xdr:rowOff>179038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535E28E-AD37-4085-92D5-C461E962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964" y="31779178"/>
          <a:ext cx="1018827" cy="1051560"/>
        </a:xfrm>
        <a:prstGeom prst="rect">
          <a:avLst/>
        </a:prstGeom>
      </xdr:spPr>
    </xdr:pic>
    <xdr:clientData/>
  </xdr:twoCellAnchor>
  <xdr:twoCellAnchor editAs="oneCell">
    <xdr:from>
      <xdr:col>12</xdr:col>
      <xdr:colOff>205893</xdr:colOff>
      <xdr:row>75</xdr:row>
      <xdr:rowOff>321347</xdr:rowOff>
    </xdr:from>
    <xdr:to>
      <xdr:col>14</xdr:col>
      <xdr:colOff>99605</xdr:colOff>
      <xdr:row>83</xdr:row>
      <xdr:rowOff>117435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72B1227-B335-46A3-B0F3-384605AD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193" y="33754097"/>
          <a:ext cx="1779662" cy="1453438"/>
        </a:xfrm>
        <a:prstGeom prst="rect">
          <a:avLst/>
        </a:prstGeom>
      </xdr:spPr>
    </xdr:pic>
    <xdr:clientData/>
  </xdr:twoCellAnchor>
  <xdr:twoCellAnchor editAs="oneCell">
    <xdr:from>
      <xdr:col>13</xdr:col>
      <xdr:colOff>558985</xdr:colOff>
      <xdr:row>76</xdr:row>
      <xdr:rowOff>21089</xdr:rowOff>
    </xdr:from>
    <xdr:to>
      <xdr:col>15</xdr:col>
      <xdr:colOff>490384</xdr:colOff>
      <xdr:row>83</xdr:row>
      <xdr:rowOff>119420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6C04AE7-001F-4691-B825-6DD9E7DE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685" y="33844364"/>
          <a:ext cx="1302999" cy="1431831"/>
        </a:xfrm>
        <a:prstGeom prst="rect">
          <a:avLst/>
        </a:prstGeom>
      </xdr:spPr>
    </xdr:pic>
    <xdr:clientData/>
  </xdr:twoCellAnchor>
  <xdr:twoCellAnchor editAs="oneCell">
    <xdr:from>
      <xdr:col>15</xdr:col>
      <xdr:colOff>593161</xdr:colOff>
      <xdr:row>75</xdr:row>
      <xdr:rowOff>350211</xdr:rowOff>
    </xdr:from>
    <xdr:to>
      <xdr:col>18</xdr:col>
      <xdr:colOff>523205</xdr:colOff>
      <xdr:row>83</xdr:row>
      <xdr:rowOff>108759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1E4AE8C-7FBE-4371-AE6A-95248DC4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8511" y="33782961"/>
          <a:ext cx="1987444" cy="14444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752378</xdr:colOff>
      <xdr:row>22</xdr:row>
      <xdr:rowOff>80664</xdr:rowOff>
    </xdr:from>
    <xdr:to>
      <xdr:col>13</xdr:col>
      <xdr:colOff>71870</xdr:colOff>
      <xdr:row>27</xdr:row>
      <xdr:rowOff>73044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ECC43-1AB3-475B-9C53-0BDF73E0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753" y="4957464"/>
          <a:ext cx="881592" cy="944880"/>
        </a:xfrm>
        <a:prstGeom prst="rect">
          <a:avLst/>
        </a:prstGeom>
      </xdr:spPr>
    </xdr:pic>
    <xdr:clientData/>
  </xdr:twoCellAnchor>
  <xdr:twoCellAnchor editAs="oneCell">
    <xdr:from>
      <xdr:col>12</xdr:col>
      <xdr:colOff>48106</xdr:colOff>
      <xdr:row>22</xdr:row>
      <xdr:rowOff>30788</xdr:rowOff>
    </xdr:from>
    <xdr:to>
      <xdr:col>12</xdr:col>
      <xdr:colOff>804390</xdr:colOff>
      <xdr:row>27</xdr:row>
      <xdr:rowOff>15548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C8875E-2980-47A5-AA14-238B7AC4A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481" y="4907588"/>
          <a:ext cx="746759" cy="937260"/>
        </a:xfrm>
        <a:prstGeom prst="rect">
          <a:avLst/>
        </a:prstGeom>
      </xdr:spPr>
    </xdr:pic>
    <xdr:clientData/>
  </xdr:twoCellAnchor>
  <xdr:twoCellAnchor editAs="oneCell">
    <xdr:from>
      <xdr:col>12</xdr:col>
      <xdr:colOff>1439793</xdr:colOff>
      <xdr:row>22</xdr:row>
      <xdr:rowOff>51646</xdr:rowOff>
    </xdr:from>
    <xdr:to>
      <xdr:col>13</xdr:col>
      <xdr:colOff>669750</xdr:colOff>
      <xdr:row>27</xdr:row>
      <xdr:rowOff>66886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9F8368-108F-412A-93B8-688F4899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1168" y="4928446"/>
          <a:ext cx="792057" cy="967740"/>
        </a:xfrm>
        <a:prstGeom prst="rect">
          <a:avLst/>
        </a:prstGeom>
      </xdr:spPr>
    </xdr:pic>
    <xdr:clientData/>
  </xdr:twoCellAnchor>
  <xdr:twoCellAnchor editAs="oneCell">
    <xdr:from>
      <xdr:col>14</xdr:col>
      <xdr:colOff>19779</xdr:colOff>
      <xdr:row>22</xdr:row>
      <xdr:rowOff>71306</xdr:rowOff>
    </xdr:from>
    <xdr:to>
      <xdr:col>15</xdr:col>
      <xdr:colOff>86107</xdr:colOff>
      <xdr:row>27</xdr:row>
      <xdr:rowOff>123587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61B6F5-9432-4995-9359-1BBE2ED9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0504" y="4948106"/>
          <a:ext cx="752128" cy="1004781"/>
        </a:xfrm>
        <a:prstGeom prst="rect">
          <a:avLst/>
        </a:prstGeom>
      </xdr:spPr>
    </xdr:pic>
    <xdr:clientData/>
  </xdr:twoCellAnchor>
  <xdr:twoCellAnchor editAs="oneCell">
    <xdr:from>
      <xdr:col>12</xdr:col>
      <xdr:colOff>26938</xdr:colOff>
      <xdr:row>27</xdr:row>
      <xdr:rowOff>34637</xdr:rowOff>
    </xdr:from>
    <xdr:to>
      <xdr:col>14</xdr:col>
      <xdr:colOff>466557</xdr:colOff>
      <xdr:row>34</xdr:row>
      <xdr:rowOff>110837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99F090-B52B-4181-96B1-EAD57AC1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313" y="8035637"/>
          <a:ext cx="2820869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21515</xdr:colOff>
      <xdr:row>27</xdr:row>
      <xdr:rowOff>138501</xdr:rowOff>
    </xdr:from>
    <xdr:to>
      <xdr:col>18</xdr:col>
      <xdr:colOff>328861</xdr:colOff>
      <xdr:row>35</xdr:row>
      <xdr:rowOff>35959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041A1AB-4DB4-46A9-93B0-3F070CA78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7565" y="8139501"/>
          <a:ext cx="2364746" cy="1421458"/>
        </a:xfrm>
        <a:prstGeom prst="rect">
          <a:avLst/>
        </a:prstGeom>
      </xdr:spPr>
    </xdr:pic>
    <xdr:clientData/>
  </xdr:twoCellAnchor>
  <xdr:twoCellAnchor editAs="oneCell">
    <xdr:from>
      <xdr:col>12</xdr:col>
      <xdr:colOff>32710</xdr:colOff>
      <xdr:row>26</xdr:row>
      <xdr:rowOff>50030</xdr:rowOff>
    </xdr:from>
    <xdr:to>
      <xdr:col>14</xdr:col>
      <xdr:colOff>472329</xdr:colOff>
      <xdr:row>33</xdr:row>
      <xdr:rowOff>126230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BD8C7F-6EEF-47A7-9C1B-57069800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4085" y="6555605"/>
          <a:ext cx="2820869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56151</xdr:colOff>
      <xdr:row>26</xdr:row>
      <xdr:rowOff>38440</xdr:rowOff>
    </xdr:from>
    <xdr:to>
      <xdr:col>18</xdr:col>
      <xdr:colOff>373022</xdr:colOff>
      <xdr:row>33</xdr:row>
      <xdr:rowOff>122260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5992CD-589B-4DA1-8FB4-6F5A9EAF4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2201" y="6544015"/>
          <a:ext cx="2374271" cy="1417320"/>
        </a:xfrm>
        <a:prstGeom prst="rect">
          <a:avLst/>
        </a:prstGeom>
      </xdr:spPr>
    </xdr:pic>
    <xdr:clientData/>
  </xdr:twoCellAnchor>
  <xdr:twoCellAnchor editAs="oneCell">
    <xdr:from>
      <xdr:col>12</xdr:col>
      <xdr:colOff>59651</xdr:colOff>
      <xdr:row>30</xdr:row>
      <xdr:rowOff>48423</xdr:rowOff>
    </xdr:from>
    <xdr:to>
      <xdr:col>12</xdr:col>
      <xdr:colOff>1250275</xdr:colOff>
      <xdr:row>35</xdr:row>
      <xdr:rowOff>178954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D4C2099-1119-4ACD-B173-DE9D439E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1026" y="9925848"/>
          <a:ext cx="1181099" cy="1083031"/>
        </a:xfrm>
        <a:prstGeom prst="rect">
          <a:avLst/>
        </a:prstGeom>
      </xdr:spPr>
    </xdr:pic>
    <xdr:clientData/>
  </xdr:twoCellAnchor>
  <xdr:twoCellAnchor editAs="oneCell">
    <xdr:from>
      <xdr:col>12</xdr:col>
      <xdr:colOff>1302615</xdr:colOff>
      <xdr:row>30</xdr:row>
      <xdr:rowOff>92364</xdr:rowOff>
    </xdr:from>
    <xdr:to>
      <xdr:col>14</xdr:col>
      <xdr:colOff>205347</xdr:colOff>
      <xdr:row>36</xdr:row>
      <xdr:rowOff>55515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A02552-4835-4A82-B592-525F3C0AE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3990" y="9969789"/>
          <a:ext cx="1312557" cy="1106151"/>
        </a:xfrm>
        <a:prstGeom prst="rect">
          <a:avLst/>
        </a:prstGeom>
      </xdr:spPr>
    </xdr:pic>
    <xdr:clientData/>
  </xdr:twoCellAnchor>
  <xdr:twoCellAnchor editAs="oneCell">
    <xdr:from>
      <xdr:col>13</xdr:col>
      <xdr:colOff>4124</xdr:colOff>
      <xdr:row>35</xdr:row>
      <xdr:rowOff>1081423</xdr:rowOff>
    </xdr:from>
    <xdr:to>
      <xdr:col>13</xdr:col>
      <xdr:colOff>529904</xdr:colOff>
      <xdr:row>41</xdr:row>
      <xdr:rowOff>72572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B926A7B-8629-42E1-918A-4A8419C6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7124" y="12892423"/>
          <a:ext cx="525780" cy="1029499"/>
        </a:xfrm>
        <a:prstGeom prst="rect">
          <a:avLst/>
        </a:prstGeom>
      </xdr:spPr>
    </xdr:pic>
    <xdr:clientData/>
  </xdr:twoCellAnchor>
  <xdr:twoCellAnchor editAs="oneCell">
    <xdr:from>
      <xdr:col>14</xdr:col>
      <xdr:colOff>43385</xdr:colOff>
      <xdr:row>36</xdr:row>
      <xdr:rowOff>67259</xdr:rowOff>
    </xdr:from>
    <xdr:to>
      <xdr:col>16</xdr:col>
      <xdr:colOff>244622</xdr:colOff>
      <xdr:row>41</xdr:row>
      <xdr:rowOff>69051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C5FC4C5-525C-4993-AE86-B2D81508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4110" y="12973634"/>
          <a:ext cx="1572837" cy="954292"/>
        </a:xfrm>
        <a:prstGeom prst="rect">
          <a:avLst/>
        </a:prstGeom>
      </xdr:spPr>
    </xdr:pic>
    <xdr:clientData/>
  </xdr:twoCellAnchor>
  <xdr:twoCellAnchor editAs="oneCell">
    <xdr:from>
      <xdr:col>12</xdr:col>
      <xdr:colOff>96212</xdr:colOff>
      <xdr:row>36</xdr:row>
      <xdr:rowOff>39883</xdr:rowOff>
    </xdr:from>
    <xdr:to>
      <xdr:col>12</xdr:col>
      <xdr:colOff>1363036</xdr:colOff>
      <xdr:row>41</xdr:row>
      <xdr:rowOff>75294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87F3ACC-8B4B-4D2F-9124-D137505E4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7587" y="12946258"/>
          <a:ext cx="1257299" cy="987911"/>
        </a:xfrm>
        <a:prstGeom prst="rect">
          <a:avLst/>
        </a:prstGeom>
      </xdr:spPr>
    </xdr:pic>
    <xdr:clientData/>
  </xdr:twoCellAnchor>
  <xdr:twoCellAnchor editAs="oneCell">
    <xdr:from>
      <xdr:col>16</xdr:col>
      <xdr:colOff>183500</xdr:colOff>
      <xdr:row>36</xdr:row>
      <xdr:rowOff>114051</xdr:rowOff>
    </xdr:from>
    <xdr:to>
      <xdr:col>18</xdr:col>
      <xdr:colOff>255197</xdr:colOff>
      <xdr:row>41</xdr:row>
      <xdr:rowOff>54436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96DE84A-12E9-44A5-901E-AE2158FFB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4875" y="13020426"/>
          <a:ext cx="1443297" cy="892885"/>
        </a:xfrm>
        <a:prstGeom prst="rect">
          <a:avLst/>
        </a:prstGeom>
      </xdr:spPr>
    </xdr:pic>
    <xdr:clientData/>
  </xdr:twoCellAnchor>
  <xdr:twoCellAnchor editAs="oneCell">
    <xdr:from>
      <xdr:col>12</xdr:col>
      <xdr:colOff>182802</xdr:colOff>
      <xdr:row>35</xdr:row>
      <xdr:rowOff>90439</xdr:rowOff>
    </xdr:from>
    <xdr:to>
      <xdr:col>12</xdr:col>
      <xdr:colOff>1277601</xdr:colOff>
      <xdr:row>40</xdr:row>
      <xdr:rowOff>144799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6F83A-9219-45A8-B3F1-D375A2DD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4177" y="11901439"/>
          <a:ext cx="1085274" cy="1006860"/>
        </a:xfrm>
        <a:prstGeom prst="rect">
          <a:avLst/>
        </a:prstGeom>
      </xdr:spPr>
    </xdr:pic>
    <xdr:clientData/>
  </xdr:twoCellAnchor>
  <xdr:twoCellAnchor editAs="oneCell">
    <xdr:from>
      <xdr:col>12</xdr:col>
      <xdr:colOff>82742</xdr:colOff>
      <xdr:row>41</xdr:row>
      <xdr:rowOff>53878</xdr:rowOff>
    </xdr:from>
    <xdr:to>
      <xdr:col>13</xdr:col>
      <xdr:colOff>411597</xdr:colOff>
      <xdr:row>47</xdr:row>
      <xdr:rowOff>96211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74B9517-A683-4DD1-80BF-637D8FC5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4117" y="14789053"/>
          <a:ext cx="1881430" cy="1185333"/>
        </a:xfrm>
        <a:prstGeom prst="rect">
          <a:avLst/>
        </a:prstGeom>
      </xdr:spPr>
    </xdr:pic>
    <xdr:clientData/>
  </xdr:twoCellAnchor>
  <xdr:twoCellAnchor editAs="oneCell">
    <xdr:from>
      <xdr:col>12</xdr:col>
      <xdr:colOff>269395</xdr:colOff>
      <xdr:row>45</xdr:row>
      <xdr:rowOff>36560</xdr:rowOff>
    </xdr:from>
    <xdr:to>
      <xdr:col>12</xdr:col>
      <xdr:colOff>1364194</xdr:colOff>
      <xdr:row>50</xdr:row>
      <xdr:rowOff>92363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F5D8A76-6054-417C-A692-DAAC1C34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770" y="16686260"/>
          <a:ext cx="1085274" cy="1008303"/>
        </a:xfrm>
        <a:prstGeom prst="rect">
          <a:avLst/>
        </a:prstGeom>
      </xdr:spPr>
    </xdr:pic>
    <xdr:clientData/>
  </xdr:twoCellAnchor>
  <xdr:twoCellAnchor editAs="oneCell">
    <xdr:from>
      <xdr:col>12</xdr:col>
      <xdr:colOff>163560</xdr:colOff>
      <xdr:row>51</xdr:row>
      <xdr:rowOff>46182</xdr:rowOff>
    </xdr:from>
    <xdr:to>
      <xdr:col>13</xdr:col>
      <xdr:colOff>69080</xdr:colOff>
      <xdr:row>56</xdr:row>
      <xdr:rowOff>94288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D9C890D-1D1B-4342-A7BD-BB3F846B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4935" y="18762807"/>
          <a:ext cx="1458095" cy="1000606"/>
        </a:xfrm>
        <a:prstGeom prst="rect">
          <a:avLst/>
        </a:prstGeom>
      </xdr:spPr>
    </xdr:pic>
    <xdr:clientData/>
  </xdr:twoCellAnchor>
  <xdr:twoCellAnchor editAs="oneCell">
    <xdr:from>
      <xdr:col>12</xdr:col>
      <xdr:colOff>107757</xdr:colOff>
      <xdr:row>64</xdr:row>
      <xdr:rowOff>104520</xdr:rowOff>
    </xdr:from>
    <xdr:to>
      <xdr:col>13</xdr:col>
      <xdr:colOff>436339</xdr:colOff>
      <xdr:row>70</xdr:row>
      <xdr:rowOff>61679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556CAB-F2E9-429A-92AC-BE4EF2AD3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9132" y="24964770"/>
          <a:ext cx="1881157" cy="1100159"/>
        </a:xfrm>
        <a:prstGeom prst="rect">
          <a:avLst/>
        </a:prstGeom>
      </xdr:spPr>
    </xdr:pic>
    <xdr:clientData/>
  </xdr:twoCellAnchor>
  <xdr:twoCellAnchor editAs="oneCell">
    <xdr:from>
      <xdr:col>14</xdr:col>
      <xdr:colOff>54441</xdr:colOff>
      <xdr:row>64</xdr:row>
      <xdr:rowOff>63500</xdr:rowOff>
    </xdr:from>
    <xdr:to>
      <xdr:col>16</xdr:col>
      <xdr:colOff>161100</xdr:colOff>
      <xdr:row>70</xdr:row>
      <xdr:rowOff>32123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14EF7B-AF66-410A-A639-1580A11E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5166" y="24923750"/>
          <a:ext cx="1478259" cy="1111623"/>
        </a:xfrm>
        <a:prstGeom prst="rect">
          <a:avLst/>
        </a:prstGeom>
      </xdr:spPr>
    </xdr:pic>
    <xdr:clientData/>
  </xdr:twoCellAnchor>
  <xdr:twoCellAnchor editAs="oneCell">
    <xdr:from>
      <xdr:col>12</xdr:col>
      <xdr:colOff>44257</xdr:colOff>
      <xdr:row>62</xdr:row>
      <xdr:rowOff>61576</xdr:rowOff>
    </xdr:from>
    <xdr:to>
      <xdr:col>13</xdr:col>
      <xdr:colOff>65232</xdr:colOff>
      <xdr:row>69</xdr:row>
      <xdr:rowOff>152016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0CFB44-8637-42D6-94FD-8FCE76F47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5632" y="21864301"/>
          <a:ext cx="1573550" cy="1423940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69273</xdr:colOff>
      <xdr:row>63</xdr:row>
      <xdr:rowOff>51955</xdr:rowOff>
    </xdr:from>
    <xdr:to>
      <xdr:col>13</xdr:col>
      <xdr:colOff>90248</xdr:colOff>
      <xdr:row>70</xdr:row>
      <xdr:rowOff>142395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BDF9B8D-7973-4948-B33B-DE8514DFD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648" y="23397730"/>
          <a:ext cx="1573550" cy="1423940"/>
        </a:xfrm>
        <a:prstGeom prst="rect">
          <a:avLst/>
        </a:prstGeom>
      </xdr:spPr>
    </xdr:pic>
    <xdr:clientData/>
  </xdr:twoCellAnchor>
  <xdr:twoCellAnchor editAs="oneCell">
    <xdr:from>
      <xdr:col>13</xdr:col>
      <xdr:colOff>61576</xdr:colOff>
      <xdr:row>63</xdr:row>
      <xdr:rowOff>92364</xdr:rowOff>
    </xdr:from>
    <xdr:to>
      <xdr:col>15</xdr:col>
      <xdr:colOff>57535</xdr:colOff>
      <xdr:row>70</xdr:row>
      <xdr:rowOff>59651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94C6734-0752-461F-B874-E0F90B27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4576" y="23438139"/>
          <a:ext cx="1519959" cy="1300787"/>
        </a:xfrm>
        <a:prstGeom prst="rect">
          <a:avLst/>
        </a:prstGeom>
      </xdr:spPr>
    </xdr:pic>
    <xdr:clientData/>
  </xdr:twoCellAnchor>
  <xdr:twoCellAnchor editAs="oneCell">
    <xdr:from>
      <xdr:col>16</xdr:col>
      <xdr:colOff>7697</xdr:colOff>
      <xdr:row>63</xdr:row>
      <xdr:rowOff>11544</xdr:rowOff>
    </xdr:from>
    <xdr:to>
      <xdr:col>18</xdr:col>
      <xdr:colOff>569384</xdr:colOff>
      <xdr:row>70</xdr:row>
      <xdr:rowOff>1923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0C293AC-8F80-44E2-8F0A-ABDA89AD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9072" y="23357319"/>
          <a:ext cx="1933287" cy="1323879"/>
        </a:xfrm>
        <a:prstGeom prst="rect">
          <a:avLst/>
        </a:prstGeom>
      </xdr:spPr>
    </xdr:pic>
    <xdr:clientData/>
  </xdr:twoCellAnchor>
  <xdr:twoCellAnchor editAs="oneCell">
    <xdr:from>
      <xdr:col>12</xdr:col>
      <xdr:colOff>175105</xdr:colOff>
      <xdr:row>73</xdr:row>
      <xdr:rowOff>103909</xdr:rowOff>
    </xdr:from>
    <xdr:to>
      <xdr:col>12</xdr:col>
      <xdr:colOff>1327630</xdr:colOff>
      <xdr:row>86</xdr:row>
      <xdr:rowOff>171929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922499A-94CD-48B6-BE86-66825C07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480" y="29002759"/>
          <a:ext cx="1143000" cy="1068145"/>
        </a:xfrm>
        <a:prstGeom prst="rect">
          <a:avLst/>
        </a:prstGeom>
      </xdr:spPr>
    </xdr:pic>
    <xdr:clientData/>
  </xdr:twoCellAnchor>
  <xdr:twoCellAnchor editAs="oneCell">
    <xdr:from>
      <xdr:col>12</xdr:col>
      <xdr:colOff>1345159</xdr:colOff>
      <xdr:row>73</xdr:row>
      <xdr:rowOff>99220</xdr:rowOff>
    </xdr:from>
    <xdr:to>
      <xdr:col>14</xdr:col>
      <xdr:colOff>167657</xdr:colOff>
      <xdr:row>86</xdr:row>
      <xdr:rowOff>150655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DDCEA8-0F51-4940-8545-480DD4420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6534" y="28998070"/>
          <a:ext cx="1232323" cy="1051560"/>
        </a:xfrm>
        <a:prstGeom prst="rect">
          <a:avLst/>
        </a:prstGeom>
      </xdr:spPr>
    </xdr:pic>
    <xdr:clientData/>
  </xdr:twoCellAnchor>
  <xdr:twoCellAnchor editAs="oneCell">
    <xdr:from>
      <xdr:col>12</xdr:col>
      <xdr:colOff>80818</xdr:colOff>
      <xdr:row>86</xdr:row>
      <xdr:rowOff>0</xdr:rowOff>
    </xdr:from>
    <xdr:to>
      <xdr:col>13</xdr:col>
      <xdr:colOff>289721</xdr:colOff>
      <xdr:row>100</xdr:row>
      <xdr:rowOff>118110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E5FF280-0531-4135-8264-9EB64D68F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2193" y="31332246"/>
          <a:ext cx="1761478" cy="1470660"/>
        </a:xfrm>
        <a:prstGeom prst="rect">
          <a:avLst/>
        </a:prstGeom>
      </xdr:spPr>
    </xdr:pic>
    <xdr:clientData/>
  </xdr:twoCellAnchor>
  <xdr:twoCellAnchor editAs="oneCell">
    <xdr:from>
      <xdr:col>13</xdr:col>
      <xdr:colOff>405046</xdr:colOff>
      <xdr:row>86</xdr:row>
      <xdr:rowOff>0</xdr:rowOff>
    </xdr:from>
    <xdr:to>
      <xdr:col>15</xdr:col>
      <xdr:colOff>201748</xdr:colOff>
      <xdr:row>100</xdr:row>
      <xdr:rowOff>92561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F1B96F8-6549-4074-BA54-2CC0D9D02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8046" y="31349488"/>
          <a:ext cx="1320702" cy="1445111"/>
        </a:xfrm>
        <a:prstGeom prst="rect">
          <a:avLst/>
        </a:prstGeom>
      </xdr:spPr>
    </xdr:pic>
    <xdr:clientData/>
  </xdr:twoCellAnchor>
  <xdr:twoCellAnchor editAs="oneCell">
    <xdr:from>
      <xdr:col>16</xdr:col>
      <xdr:colOff>35130</xdr:colOff>
      <xdr:row>86</xdr:row>
      <xdr:rowOff>0</xdr:rowOff>
    </xdr:from>
    <xdr:to>
      <xdr:col>18</xdr:col>
      <xdr:colOff>561785</xdr:colOff>
      <xdr:row>100</xdr:row>
      <xdr:rowOff>109145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B42E706-057D-489C-BEC8-96836DF6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6505" y="31341868"/>
          <a:ext cx="1898255" cy="1461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CCFF"/>
  </sheetPr>
  <dimension ref="A2:E66"/>
  <sheetViews>
    <sheetView workbookViewId="0">
      <selection activeCell="D7" sqref="D7"/>
    </sheetView>
  </sheetViews>
  <sheetFormatPr defaultColWidth="9.08984375" defaultRowHeight="14.5" x14ac:dyDescent="0.35"/>
  <cols>
    <col min="1" max="1" width="4.6328125" style="1" customWidth="1"/>
    <col min="2" max="2" width="97.7265625" style="1" customWidth="1"/>
    <col min="3" max="3" width="14.36328125" style="1" customWidth="1"/>
    <col min="4" max="4" width="14.7265625" style="1" customWidth="1"/>
    <col min="5" max="16384" width="9.08984375" style="1"/>
  </cols>
  <sheetData>
    <row r="2" spans="1:5" ht="15" customHeight="1" x14ac:dyDescent="0.35">
      <c r="B2" s="139">
        <v>45083</v>
      </c>
    </row>
    <row r="3" spans="1:5" ht="20.25" customHeight="1" x14ac:dyDescent="0.35"/>
    <row r="4" spans="1:5" ht="21" customHeight="1" x14ac:dyDescent="0.35">
      <c r="B4" s="84"/>
    </row>
    <row r="5" spans="1:5" ht="21" customHeight="1" x14ac:dyDescent="0.35">
      <c r="B5" s="26"/>
    </row>
    <row r="6" spans="1:5" ht="50.25" customHeight="1" x14ac:dyDescent="0.35">
      <c r="B6" s="142" t="s">
        <v>176</v>
      </c>
      <c r="C6" s="153"/>
    </row>
    <row r="7" spans="1:5" ht="15" customHeight="1" x14ac:dyDescent="0.35">
      <c r="B7" s="117" t="s">
        <v>117</v>
      </c>
      <c r="C7" s="153"/>
    </row>
    <row r="8" spans="1:5" ht="21" customHeight="1" x14ac:dyDescent="0.35">
      <c r="A8" s="140">
        <v>1</v>
      </c>
      <c r="B8" s="143" t="s">
        <v>159</v>
      </c>
      <c r="C8" s="118" t="e" cm="1">
        <f t="array" ref="C8:E8">'KNMC III  სართული'!J3:L3</f>
        <v>#VALUE!</v>
      </c>
      <c r="D8" s="1">
        <v>0</v>
      </c>
      <c r="E8" s="1">
        <v>0</v>
      </c>
    </row>
    <row r="9" spans="1:5" ht="21" customHeight="1" x14ac:dyDescent="0.35">
      <c r="A9" s="140">
        <v>2</v>
      </c>
      <c r="B9" s="143" t="s">
        <v>163</v>
      </c>
      <c r="C9" s="118" t="e">
        <f>'KNMC IV სართული'!J3</f>
        <v>#VALUE!</v>
      </c>
    </row>
    <row r="10" spans="1:5" ht="21" customHeight="1" x14ac:dyDescent="0.35">
      <c r="A10" s="140">
        <v>3</v>
      </c>
      <c r="B10" s="143" t="s">
        <v>170</v>
      </c>
      <c r="C10" s="118" t="e">
        <f>'KNMC V სართული'!J3</f>
        <v>#VALUE!</v>
      </c>
    </row>
    <row r="11" spans="1:5" ht="21" customHeight="1" x14ac:dyDescent="0.35">
      <c r="A11" s="140">
        <v>4</v>
      </c>
      <c r="B11" s="116" t="s">
        <v>188</v>
      </c>
      <c r="C11" s="118" t="e" cm="1">
        <f t="array" ref="C11:E11">'KNMC  V სართ. საოპ'!J3:L3</f>
        <v>#VALUE!</v>
      </c>
      <c r="D11" s="1">
        <v>0</v>
      </c>
      <c r="E11" s="1">
        <v>0</v>
      </c>
    </row>
    <row r="12" spans="1:5" ht="25.9" customHeight="1" x14ac:dyDescent="0.35">
      <c r="A12" s="141"/>
      <c r="B12" s="117" t="s">
        <v>6</v>
      </c>
      <c r="C12" s="119" t="e">
        <f>SUM(C8:C11)</f>
        <v>#VALUE!</v>
      </c>
    </row>
    <row r="13" spans="1:5" ht="36" customHeight="1" x14ac:dyDescent="0.35">
      <c r="B13" s="3"/>
    </row>
    <row r="14" spans="1:5" x14ac:dyDescent="0.35">
      <c r="B14" s="3"/>
    </row>
    <row r="15" spans="1:5" x14ac:dyDescent="0.35">
      <c r="B15" s="3"/>
    </row>
    <row r="16" spans="1:5" x14ac:dyDescent="0.35">
      <c r="B16" s="3"/>
    </row>
    <row r="17" spans="2:2" x14ac:dyDescent="0.35">
      <c r="B17" s="3"/>
    </row>
    <row r="18" spans="2:2" x14ac:dyDescent="0.35">
      <c r="B18" s="3"/>
    </row>
    <row r="19" spans="2:2" x14ac:dyDescent="0.35">
      <c r="B19" s="3"/>
    </row>
    <row r="20" spans="2:2" x14ac:dyDescent="0.35">
      <c r="B20" s="3"/>
    </row>
    <row r="26" spans="2:2" ht="15" customHeight="1" x14ac:dyDescent="0.35"/>
    <row r="27" spans="2:2" ht="15" customHeight="1" x14ac:dyDescent="0.35"/>
    <row r="35" ht="18" customHeight="1" x14ac:dyDescent="0.35"/>
    <row r="36" ht="15" customHeight="1" x14ac:dyDescent="0.35"/>
    <row r="37" ht="18" customHeight="1" x14ac:dyDescent="0.35"/>
    <row r="38" ht="18" customHeight="1" x14ac:dyDescent="0.35"/>
    <row r="39" ht="18" customHeight="1" x14ac:dyDescent="0.35"/>
    <row r="40" ht="18" customHeight="1" x14ac:dyDescent="0.35"/>
    <row r="41" ht="18" customHeight="1" x14ac:dyDescent="0.35"/>
    <row r="65" spans="2:3" ht="15.75" customHeight="1" x14ac:dyDescent="0.35"/>
    <row r="66" spans="2:3" s="2" customFormat="1" x14ac:dyDescent="0.35">
      <c r="B66" s="1"/>
      <c r="C66" s="1"/>
    </row>
  </sheetData>
  <mergeCells count="1">
    <mergeCell ref="C6:C7"/>
  </mergeCells>
  <pageMargins left="0.2" right="0.2" top="0.75" bottom="0.75" header="0.3" footer="0.3"/>
  <pageSetup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N56"/>
  <sheetViews>
    <sheetView topLeftCell="A42" zoomScale="99" zoomScaleNormal="99" workbookViewId="0">
      <selection activeCell="G63" sqref="G63"/>
    </sheetView>
  </sheetViews>
  <sheetFormatPr defaultColWidth="9.08984375" defaultRowHeight="12" x14ac:dyDescent="0.3"/>
  <cols>
    <col min="1" max="1" width="3.36328125" style="67" customWidth="1"/>
    <col min="2" max="2" width="54.6328125" style="42" customWidth="1"/>
    <col min="3" max="3" width="8.984375E-2" style="42" customWidth="1"/>
    <col min="4" max="4" width="6" style="67" customWidth="1"/>
    <col min="5" max="5" width="9.7265625" style="42" customWidth="1"/>
    <col min="6" max="6" width="9.36328125" style="199" customWidth="1"/>
    <col min="7" max="7" width="12.6328125" style="199" customWidth="1"/>
    <col min="8" max="8" width="7.6328125" style="199" customWidth="1"/>
    <col min="9" max="9" width="12.36328125" style="42" customWidth="1"/>
    <col min="10" max="10" width="7.7265625" style="42" customWidth="1"/>
    <col min="11" max="11" width="9.08984375" style="42" customWidth="1"/>
    <col min="12" max="12" width="11.7265625" style="42" customWidth="1"/>
    <col min="13" max="13" width="8.90625" style="42" customWidth="1"/>
    <col min="14" max="16384" width="9.08984375" style="42"/>
  </cols>
  <sheetData>
    <row r="1" spans="1:14" ht="19.899999999999999" customHeight="1" x14ac:dyDescent="0.3">
      <c r="A1" s="155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7"/>
    </row>
    <row r="2" spans="1:14" ht="19.149999999999999" customHeight="1" x14ac:dyDescent="0.3">
      <c r="A2" s="78"/>
      <c r="B2" s="137" t="s">
        <v>159</v>
      </c>
      <c r="C2" s="137"/>
      <c r="D2" s="137"/>
      <c r="E2" s="137"/>
      <c r="F2" s="182"/>
      <c r="G2" s="182"/>
      <c r="H2" s="182"/>
      <c r="I2" s="137"/>
      <c r="J2" s="137"/>
      <c r="K2" s="137"/>
      <c r="L2" s="138"/>
      <c r="N2" s="134"/>
    </row>
    <row r="3" spans="1:14" ht="18" customHeight="1" x14ac:dyDescent="0.3">
      <c r="A3" s="79"/>
      <c r="B3" s="108" t="s">
        <v>187</v>
      </c>
      <c r="C3" s="108"/>
      <c r="D3" s="75"/>
      <c r="E3" s="76"/>
      <c r="F3" s="154" t="s">
        <v>22</v>
      </c>
      <c r="G3" s="154"/>
      <c r="H3" s="154"/>
      <c r="I3" s="154"/>
      <c r="J3" s="158" t="e">
        <f>L56</f>
        <v>#VALUE!</v>
      </c>
      <c r="K3" s="158"/>
      <c r="L3" s="159"/>
      <c r="M3" s="134"/>
    </row>
    <row r="4" spans="1:14" ht="15" customHeight="1" x14ac:dyDescent="0.3">
      <c r="A4" s="162" t="s">
        <v>26</v>
      </c>
      <c r="B4" s="164" t="s">
        <v>0</v>
      </c>
      <c r="C4" s="123"/>
      <c r="D4" s="162" t="s">
        <v>1</v>
      </c>
      <c r="E4" s="166" t="s">
        <v>2</v>
      </c>
      <c r="F4" s="184" t="s">
        <v>3</v>
      </c>
      <c r="G4" s="185"/>
      <c r="H4" s="168" t="s">
        <v>4</v>
      </c>
      <c r="I4" s="169"/>
      <c r="J4" s="160" t="s">
        <v>5</v>
      </c>
      <c r="K4" s="161"/>
      <c r="L4" s="162" t="s">
        <v>6</v>
      </c>
    </row>
    <row r="5" spans="1:14" ht="17.25" customHeight="1" x14ac:dyDescent="0.3">
      <c r="A5" s="163"/>
      <c r="B5" s="165"/>
      <c r="C5" s="124"/>
      <c r="D5" s="163"/>
      <c r="E5" s="167"/>
      <c r="F5" s="186" t="s">
        <v>7</v>
      </c>
      <c r="G5" s="186" t="s">
        <v>6</v>
      </c>
      <c r="H5" s="186" t="s">
        <v>7</v>
      </c>
      <c r="I5" s="52" t="s">
        <v>6</v>
      </c>
      <c r="J5" s="52" t="s">
        <v>7</v>
      </c>
      <c r="K5" s="52" t="s">
        <v>6</v>
      </c>
      <c r="L5" s="163"/>
    </row>
    <row r="6" spans="1:14" ht="17.25" customHeight="1" x14ac:dyDescent="0.3">
      <c r="A6" s="131"/>
      <c r="B6" s="124"/>
      <c r="C6" s="124"/>
      <c r="D6" s="131"/>
      <c r="E6" s="132"/>
      <c r="F6" s="186"/>
      <c r="G6" s="186"/>
      <c r="H6" s="186"/>
      <c r="I6" s="52"/>
      <c r="J6" s="52"/>
      <c r="K6" s="52"/>
      <c r="L6" s="131"/>
    </row>
    <row r="7" spans="1:14" ht="12.5" x14ac:dyDescent="0.35">
      <c r="A7" s="53">
        <v>1</v>
      </c>
      <c r="B7" s="34">
        <v>2</v>
      </c>
      <c r="C7" s="34"/>
      <c r="D7" s="54">
        <v>3</v>
      </c>
      <c r="E7" s="34">
        <v>4</v>
      </c>
      <c r="F7" s="187">
        <v>5</v>
      </c>
      <c r="G7" s="187">
        <v>6</v>
      </c>
      <c r="H7" s="187">
        <v>7</v>
      </c>
      <c r="I7" s="34">
        <v>8</v>
      </c>
      <c r="J7" s="34">
        <v>9</v>
      </c>
      <c r="K7" s="34">
        <v>10</v>
      </c>
      <c r="L7" s="34">
        <v>11</v>
      </c>
    </row>
    <row r="8" spans="1:14" ht="13.5" x14ac:dyDescent="0.3">
      <c r="A8" s="53"/>
      <c r="B8" s="10" t="s">
        <v>86</v>
      </c>
      <c r="C8" s="10"/>
      <c r="D8" s="58"/>
      <c r="E8" s="47"/>
      <c r="F8" s="188"/>
      <c r="G8" s="188"/>
      <c r="H8" s="188"/>
      <c r="I8" s="47"/>
      <c r="J8" s="47"/>
      <c r="K8" s="47"/>
      <c r="L8" s="47"/>
    </row>
    <row r="9" spans="1:14" s="65" customFormat="1" ht="17.5" customHeight="1" x14ac:dyDescent="0.3">
      <c r="A9" s="57">
        <v>3</v>
      </c>
      <c r="B9" s="20" t="s">
        <v>90</v>
      </c>
      <c r="C9" s="20"/>
      <c r="D9" s="52" t="s">
        <v>73</v>
      </c>
      <c r="E9" s="71">
        <v>332</v>
      </c>
      <c r="F9" s="189"/>
      <c r="G9" s="189">
        <f t="shared" ref="G9:G44" si="0">F9*E9</f>
        <v>0</v>
      </c>
      <c r="H9" s="189"/>
      <c r="I9" s="71">
        <f t="shared" ref="I9:I35" si="1">H9*E9</f>
        <v>0</v>
      </c>
      <c r="J9" s="71"/>
      <c r="K9" s="71">
        <f t="shared" ref="K9:K44" si="2">J9*E9</f>
        <v>0</v>
      </c>
      <c r="L9" s="71">
        <f t="shared" ref="L9:L44" si="3">K9+I9+G9</f>
        <v>0</v>
      </c>
    </row>
    <row r="10" spans="1:14" s="65" customFormat="1" ht="17.5" customHeight="1" x14ac:dyDescent="0.3">
      <c r="A10" s="57">
        <v>4</v>
      </c>
      <c r="B10" s="20" t="s">
        <v>85</v>
      </c>
      <c r="C10" s="20"/>
      <c r="D10" s="52" t="s">
        <v>9</v>
      </c>
      <c r="E10" s="71">
        <v>2</v>
      </c>
      <c r="F10" s="189"/>
      <c r="G10" s="189">
        <f t="shared" si="0"/>
        <v>0</v>
      </c>
      <c r="H10" s="189"/>
      <c r="I10" s="71">
        <f t="shared" si="1"/>
        <v>0</v>
      </c>
      <c r="J10" s="71"/>
      <c r="K10" s="71">
        <f t="shared" si="2"/>
        <v>0</v>
      </c>
      <c r="L10" s="71">
        <f t="shared" si="3"/>
        <v>0</v>
      </c>
    </row>
    <row r="11" spans="1:14" s="65" customFormat="1" ht="17.5" customHeight="1" x14ac:dyDescent="0.3">
      <c r="A11" s="57">
        <v>5</v>
      </c>
      <c r="B11" s="20" t="s">
        <v>121</v>
      </c>
      <c r="C11" s="20"/>
      <c r="D11" s="52" t="s">
        <v>9</v>
      </c>
      <c r="E11" s="71">
        <v>3</v>
      </c>
      <c r="F11" s="189"/>
      <c r="G11" s="189">
        <f t="shared" si="0"/>
        <v>0</v>
      </c>
      <c r="H11" s="189"/>
      <c r="I11" s="71">
        <f t="shared" si="1"/>
        <v>0</v>
      </c>
      <c r="J11" s="71"/>
      <c r="K11" s="71">
        <f t="shared" si="2"/>
        <v>0</v>
      </c>
      <c r="L11" s="71">
        <f t="shared" si="3"/>
        <v>0</v>
      </c>
    </row>
    <row r="12" spans="1:14" s="65" customFormat="1" ht="33" customHeight="1" x14ac:dyDescent="0.3">
      <c r="A12" s="57">
        <v>8</v>
      </c>
      <c r="B12" s="9" t="s">
        <v>68</v>
      </c>
      <c r="C12" s="9"/>
      <c r="D12" s="52" t="s">
        <v>23</v>
      </c>
      <c r="E12" s="71">
        <v>1</v>
      </c>
      <c r="F12" s="189"/>
      <c r="G12" s="189">
        <f t="shared" si="0"/>
        <v>0</v>
      </c>
      <c r="H12" s="189"/>
      <c r="I12" s="71">
        <f t="shared" si="1"/>
        <v>0</v>
      </c>
      <c r="J12" s="71"/>
      <c r="K12" s="71">
        <f t="shared" si="2"/>
        <v>0</v>
      </c>
      <c r="L12" s="71">
        <f t="shared" si="3"/>
        <v>0</v>
      </c>
    </row>
    <row r="13" spans="1:14" s="65" customFormat="1" ht="13.5" x14ac:dyDescent="0.3">
      <c r="A13" s="57"/>
      <c r="B13" s="68" t="s">
        <v>87</v>
      </c>
      <c r="C13" s="68"/>
      <c r="D13" s="52"/>
      <c r="E13" s="71"/>
      <c r="F13" s="189"/>
      <c r="G13" s="189">
        <f t="shared" si="0"/>
        <v>0</v>
      </c>
      <c r="H13" s="189"/>
      <c r="I13" s="71">
        <f t="shared" si="1"/>
        <v>0</v>
      </c>
      <c r="J13" s="71"/>
      <c r="K13" s="71">
        <f t="shared" si="2"/>
        <v>0</v>
      </c>
      <c r="L13" s="71">
        <f t="shared" si="3"/>
        <v>0</v>
      </c>
    </row>
    <row r="14" spans="1:14" s="65" customFormat="1" ht="24.65" customHeight="1" x14ac:dyDescent="0.35">
      <c r="A14" s="57">
        <v>1</v>
      </c>
      <c r="B14" s="85" t="s">
        <v>118</v>
      </c>
      <c r="C14" s="85"/>
      <c r="D14" s="111" t="s">
        <v>8</v>
      </c>
      <c r="E14" s="90">
        <v>3</v>
      </c>
      <c r="F14" s="190"/>
      <c r="G14" s="189">
        <f t="shared" si="0"/>
        <v>0</v>
      </c>
      <c r="H14" s="191"/>
      <c r="I14" s="71">
        <f t="shared" si="1"/>
        <v>0</v>
      </c>
      <c r="J14" s="16"/>
      <c r="K14" s="71">
        <f t="shared" si="2"/>
        <v>0</v>
      </c>
      <c r="L14" s="71">
        <f t="shared" si="3"/>
        <v>0</v>
      </c>
    </row>
    <row r="15" spans="1:14" s="65" customFormat="1" ht="13.5" x14ac:dyDescent="0.3">
      <c r="A15" s="57"/>
      <c r="B15" s="87" t="s">
        <v>96</v>
      </c>
      <c r="C15" s="87"/>
      <c r="D15" s="52" t="s">
        <v>92</v>
      </c>
      <c r="E15" s="16">
        <f>E14*0.05*1.2</f>
        <v>0.18000000000000002</v>
      </c>
      <c r="F15" s="191"/>
      <c r="G15" s="189">
        <f t="shared" si="0"/>
        <v>0</v>
      </c>
      <c r="H15" s="191"/>
      <c r="I15" s="71">
        <f t="shared" si="1"/>
        <v>0</v>
      </c>
      <c r="J15" s="16"/>
      <c r="K15" s="71">
        <f t="shared" si="2"/>
        <v>0</v>
      </c>
      <c r="L15" s="71">
        <f t="shared" si="3"/>
        <v>0</v>
      </c>
    </row>
    <row r="16" spans="1:14" s="65" customFormat="1" ht="13.5" x14ac:dyDescent="0.3">
      <c r="A16" s="57"/>
      <c r="B16" s="87" t="s">
        <v>97</v>
      </c>
      <c r="C16" s="87"/>
      <c r="D16" s="52" t="s">
        <v>93</v>
      </c>
      <c r="E16" s="16">
        <v>40</v>
      </c>
      <c r="F16" s="191"/>
      <c r="G16" s="189">
        <f t="shared" si="0"/>
        <v>0</v>
      </c>
      <c r="H16" s="191"/>
      <c r="I16" s="71">
        <f t="shared" si="1"/>
        <v>0</v>
      </c>
      <c r="J16" s="16"/>
      <c r="K16" s="71">
        <f t="shared" si="2"/>
        <v>0</v>
      </c>
      <c r="L16" s="71">
        <f t="shared" si="3"/>
        <v>0</v>
      </c>
    </row>
    <row r="17" spans="1:12" s="65" customFormat="1" ht="13.5" x14ac:dyDescent="0.3">
      <c r="A17" s="57"/>
      <c r="B17" s="88" t="s">
        <v>11</v>
      </c>
      <c r="C17" s="88"/>
      <c r="D17" s="52" t="s">
        <v>12</v>
      </c>
      <c r="E17" s="16">
        <f>E14*0.2</f>
        <v>0.60000000000000009</v>
      </c>
      <c r="F17" s="191"/>
      <c r="G17" s="189">
        <f t="shared" si="0"/>
        <v>0</v>
      </c>
      <c r="H17" s="191"/>
      <c r="I17" s="71">
        <f t="shared" si="1"/>
        <v>0</v>
      </c>
      <c r="J17" s="16"/>
      <c r="K17" s="71">
        <f t="shared" si="2"/>
        <v>0</v>
      </c>
      <c r="L17" s="71">
        <f t="shared" si="3"/>
        <v>0</v>
      </c>
    </row>
    <row r="18" spans="1:12" s="65" customFormat="1" ht="14.5" x14ac:dyDescent="0.35">
      <c r="A18" s="57">
        <v>2</v>
      </c>
      <c r="B18" s="91"/>
      <c r="C18" s="91"/>
      <c r="D18" s="111" t="s">
        <v>8</v>
      </c>
      <c r="E18" s="90">
        <f>E11</f>
        <v>3</v>
      </c>
      <c r="F18" s="192"/>
      <c r="G18" s="189">
        <f t="shared" si="0"/>
        <v>0</v>
      </c>
      <c r="H18" s="193"/>
      <c r="I18" s="71">
        <f t="shared" si="1"/>
        <v>0</v>
      </c>
      <c r="J18" s="28"/>
      <c r="K18" s="71">
        <f t="shared" si="2"/>
        <v>0</v>
      </c>
      <c r="L18" s="71">
        <f t="shared" si="3"/>
        <v>0</v>
      </c>
    </row>
    <row r="19" spans="1:12" s="65" customFormat="1" ht="14.5" x14ac:dyDescent="0.35">
      <c r="A19" s="57">
        <v>3</v>
      </c>
      <c r="B19" s="85" t="s">
        <v>98</v>
      </c>
      <c r="C19" s="85"/>
      <c r="D19" s="111" t="s">
        <v>8</v>
      </c>
      <c r="E19" s="90">
        <v>3</v>
      </c>
      <c r="F19" s="192"/>
      <c r="G19" s="189">
        <f t="shared" si="0"/>
        <v>0</v>
      </c>
      <c r="H19" s="191"/>
      <c r="I19" s="71">
        <f t="shared" si="1"/>
        <v>0</v>
      </c>
      <c r="J19" s="16"/>
      <c r="K19" s="71">
        <f t="shared" si="2"/>
        <v>0</v>
      </c>
      <c r="L19" s="71">
        <f t="shared" si="3"/>
        <v>0</v>
      </c>
    </row>
    <row r="20" spans="1:12" s="65" customFormat="1" ht="13.5" x14ac:dyDescent="0.35">
      <c r="A20" s="57">
        <v>4</v>
      </c>
      <c r="B20" s="94" t="s">
        <v>104</v>
      </c>
      <c r="C20" s="94"/>
      <c r="D20" s="111" t="s">
        <v>8</v>
      </c>
      <c r="E20" s="95">
        <v>14</v>
      </c>
      <c r="F20" s="196"/>
      <c r="G20" s="189">
        <f t="shared" si="0"/>
        <v>0</v>
      </c>
      <c r="H20" s="196"/>
      <c r="I20" s="71">
        <f t="shared" si="1"/>
        <v>0</v>
      </c>
      <c r="J20" s="6"/>
      <c r="K20" s="71">
        <f t="shared" si="2"/>
        <v>0</v>
      </c>
      <c r="L20" s="71">
        <f t="shared" si="3"/>
        <v>0</v>
      </c>
    </row>
    <row r="21" spans="1:12" s="65" customFormat="1" ht="13.5" x14ac:dyDescent="0.35">
      <c r="A21" s="57"/>
      <c r="B21" s="63" t="s">
        <v>99</v>
      </c>
      <c r="C21" s="63"/>
      <c r="D21" s="109" t="s">
        <v>8</v>
      </c>
      <c r="E21" s="6">
        <f>E20*2.05</f>
        <v>28.699999999999996</v>
      </c>
      <c r="F21" s="196"/>
      <c r="G21" s="189">
        <f t="shared" si="0"/>
        <v>0</v>
      </c>
      <c r="H21" s="196"/>
      <c r="I21" s="71">
        <f t="shared" si="1"/>
        <v>0</v>
      </c>
      <c r="J21" s="6"/>
      <c r="K21" s="71">
        <f t="shared" si="2"/>
        <v>0</v>
      </c>
      <c r="L21" s="71">
        <f t="shared" si="3"/>
        <v>0</v>
      </c>
    </row>
    <row r="22" spans="1:12" s="65" customFormat="1" ht="86.5" customHeight="1" x14ac:dyDescent="0.3">
      <c r="A22" s="57"/>
      <c r="B22" s="9" t="s">
        <v>102</v>
      </c>
      <c r="C22" s="9"/>
      <c r="D22" s="55" t="s">
        <v>8</v>
      </c>
      <c r="E22" s="6">
        <f>E20</f>
        <v>14</v>
      </c>
      <c r="F22" s="196"/>
      <c r="G22" s="189">
        <f t="shared" si="0"/>
        <v>0</v>
      </c>
      <c r="H22" s="196"/>
      <c r="I22" s="71">
        <f t="shared" si="1"/>
        <v>0</v>
      </c>
      <c r="J22" s="6"/>
      <c r="K22" s="71">
        <f t="shared" si="2"/>
        <v>0</v>
      </c>
      <c r="L22" s="71">
        <f t="shared" si="3"/>
        <v>0</v>
      </c>
    </row>
    <row r="23" spans="1:12" s="65" customFormat="1" ht="84.65" customHeight="1" x14ac:dyDescent="0.35">
      <c r="A23" s="57"/>
      <c r="B23" s="72" t="s">
        <v>81</v>
      </c>
      <c r="C23" s="21"/>
      <c r="D23" s="55" t="s">
        <v>8</v>
      </c>
      <c r="E23" s="6">
        <f>E20</f>
        <v>14</v>
      </c>
      <c r="F23" s="196"/>
      <c r="G23" s="189">
        <f t="shared" si="0"/>
        <v>0</v>
      </c>
      <c r="H23" s="196"/>
      <c r="I23" s="71">
        <f t="shared" si="1"/>
        <v>0</v>
      </c>
      <c r="J23" s="6"/>
      <c r="K23" s="71">
        <f t="shared" si="2"/>
        <v>0</v>
      </c>
      <c r="L23" s="71">
        <f t="shared" si="3"/>
        <v>0</v>
      </c>
    </row>
    <row r="24" spans="1:12" s="65" customFormat="1" ht="15.65" customHeight="1" x14ac:dyDescent="0.3">
      <c r="A24" s="57">
        <v>5</v>
      </c>
      <c r="B24" s="91" t="s">
        <v>100</v>
      </c>
      <c r="C24" s="91"/>
      <c r="D24" s="111" t="s">
        <v>8</v>
      </c>
      <c r="E24" s="95">
        <v>332</v>
      </c>
      <c r="F24" s="193"/>
      <c r="G24" s="189">
        <f t="shared" si="0"/>
        <v>0</v>
      </c>
      <c r="H24" s="196"/>
      <c r="I24" s="71">
        <f t="shared" si="1"/>
        <v>0</v>
      </c>
      <c r="J24" s="6"/>
      <c r="K24" s="71">
        <f t="shared" si="2"/>
        <v>0</v>
      </c>
      <c r="L24" s="71">
        <f t="shared" si="3"/>
        <v>0</v>
      </c>
    </row>
    <row r="25" spans="1:12" s="65" customFormat="1" ht="13.5" x14ac:dyDescent="0.35">
      <c r="A25" s="57"/>
      <c r="B25" s="63" t="s">
        <v>119</v>
      </c>
      <c r="C25" s="63"/>
      <c r="D25" s="109" t="s">
        <v>8</v>
      </c>
      <c r="E25" s="6">
        <f>E24*1.05</f>
        <v>348.6</v>
      </c>
      <c r="F25" s="196"/>
      <c r="G25" s="189">
        <f t="shared" si="0"/>
        <v>0</v>
      </c>
      <c r="H25" s="196"/>
      <c r="I25" s="71">
        <f t="shared" si="1"/>
        <v>0</v>
      </c>
      <c r="J25" s="6"/>
      <c r="K25" s="71">
        <f t="shared" si="2"/>
        <v>0</v>
      </c>
      <c r="L25" s="71">
        <f t="shared" si="3"/>
        <v>0</v>
      </c>
    </row>
    <row r="26" spans="1:12" s="65" customFormat="1" ht="103.15" customHeight="1" x14ac:dyDescent="0.3">
      <c r="A26" s="57"/>
      <c r="B26" s="9" t="s">
        <v>101</v>
      </c>
      <c r="C26" s="9"/>
      <c r="D26" s="55" t="s">
        <v>8</v>
      </c>
      <c r="E26" s="6">
        <f>E24</f>
        <v>332</v>
      </c>
      <c r="F26" s="196"/>
      <c r="G26" s="189">
        <f t="shared" si="0"/>
        <v>0</v>
      </c>
      <c r="H26" s="196"/>
      <c r="I26" s="71">
        <f t="shared" si="1"/>
        <v>0</v>
      </c>
      <c r="J26" s="6"/>
      <c r="K26" s="71">
        <f t="shared" si="2"/>
        <v>0</v>
      </c>
      <c r="L26" s="71">
        <f t="shared" si="3"/>
        <v>0</v>
      </c>
    </row>
    <row r="27" spans="1:12" s="65" customFormat="1" ht="13.5" x14ac:dyDescent="0.35">
      <c r="A27" s="57"/>
      <c r="B27" s="21" t="s">
        <v>11</v>
      </c>
      <c r="C27" s="21"/>
      <c r="D27" s="55" t="s">
        <v>12</v>
      </c>
      <c r="E27" s="6">
        <f>E24*0.02</f>
        <v>6.6400000000000006</v>
      </c>
      <c r="F27" s="196"/>
      <c r="G27" s="189">
        <f t="shared" si="0"/>
        <v>0</v>
      </c>
      <c r="H27" s="196"/>
      <c r="I27" s="71">
        <f t="shared" si="1"/>
        <v>0</v>
      </c>
      <c r="J27" s="6"/>
      <c r="K27" s="71">
        <f t="shared" si="2"/>
        <v>0</v>
      </c>
      <c r="L27" s="71">
        <f t="shared" si="3"/>
        <v>0</v>
      </c>
    </row>
    <row r="28" spans="1:12" s="65" customFormat="1" ht="15.65" customHeight="1" x14ac:dyDescent="0.3">
      <c r="A28" s="57">
        <v>7</v>
      </c>
      <c r="B28" s="19" t="s">
        <v>103</v>
      </c>
      <c r="C28" s="19"/>
      <c r="D28" s="57" t="s">
        <v>8</v>
      </c>
      <c r="E28" s="71">
        <v>1402</v>
      </c>
      <c r="F28" s="189"/>
      <c r="G28" s="189">
        <f t="shared" si="0"/>
        <v>0</v>
      </c>
      <c r="H28" s="189"/>
      <c r="I28" s="71">
        <f t="shared" si="1"/>
        <v>0</v>
      </c>
      <c r="J28" s="71"/>
      <c r="K28" s="71">
        <f t="shared" si="2"/>
        <v>0</v>
      </c>
      <c r="L28" s="71">
        <f t="shared" si="3"/>
        <v>0</v>
      </c>
    </row>
    <row r="29" spans="1:12" s="65" customFormat="1" ht="13.5" x14ac:dyDescent="0.35">
      <c r="A29" s="57"/>
      <c r="B29" s="69" t="s">
        <v>29</v>
      </c>
      <c r="C29" s="69"/>
      <c r="D29" s="52" t="s">
        <v>13</v>
      </c>
      <c r="E29" s="71">
        <f>E28*0.9</f>
        <v>1261.8</v>
      </c>
      <c r="F29" s="189"/>
      <c r="G29" s="189">
        <f t="shared" si="0"/>
        <v>0</v>
      </c>
      <c r="H29" s="189"/>
      <c r="I29" s="71">
        <f t="shared" si="1"/>
        <v>0</v>
      </c>
      <c r="J29" s="71"/>
      <c r="K29" s="71">
        <f t="shared" si="2"/>
        <v>0</v>
      </c>
      <c r="L29" s="71">
        <f t="shared" si="3"/>
        <v>0</v>
      </c>
    </row>
    <row r="30" spans="1:12" s="65" customFormat="1" ht="78.75" customHeight="1" x14ac:dyDescent="0.35">
      <c r="A30" s="57"/>
      <c r="B30" s="115" t="s">
        <v>204</v>
      </c>
      <c r="C30" s="69"/>
      <c r="D30" s="52" t="s">
        <v>13</v>
      </c>
      <c r="E30" s="71">
        <f>E28*0.4</f>
        <v>560.80000000000007</v>
      </c>
      <c r="F30" s="189"/>
      <c r="G30" s="189">
        <f t="shared" si="0"/>
        <v>0</v>
      </c>
      <c r="H30" s="189"/>
      <c r="I30" s="71">
        <f t="shared" si="1"/>
        <v>0</v>
      </c>
      <c r="J30" s="71"/>
      <c r="K30" s="71">
        <f t="shared" si="2"/>
        <v>0</v>
      </c>
      <c r="L30" s="71">
        <f t="shared" si="3"/>
        <v>0</v>
      </c>
    </row>
    <row r="31" spans="1:12" s="65" customFormat="1" ht="13.5" x14ac:dyDescent="0.3">
      <c r="A31" s="57"/>
      <c r="B31" s="20" t="s">
        <v>89</v>
      </c>
      <c r="C31" s="20"/>
      <c r="D31" s="52" t="s">
        <v>13</v>
      </c>
      <c r="E31" s="71">
        <f>E28*0.2</f>
        <v>280.40000000000003</v>
      </c>
      <c r="F31" s="189"/>
      <c r="G31" s="189">
        <f t="shared" si="0"/>
        <v>0</v>
      </c>
      <c r="H31" s="189"/>
      <c r="I31" s="71">
        <f t="shared" si="1"/>
        <v>0</v>
      </c>
      <c r="J31" s="71"/>
      <c r="K31" s="71">
        <f t="shared" si="2"/>
        <v>0</v>
      </c>
      <c r="L31" s="71">
        <f t="shared" si="3"/>
        <v>0</v>
      </c>
    </row>
    <row r="32" spans="1:12" s="65" customFormat="1" ht="13.5" x14ac:dyDescent="0.35">
      <c r="A32" s="57"/>
      <c r="B32" s="69" t="s">
        <v>88</v>
      </c>
      <c r="C32" s="69"/>
      <c r="D32" s="52" t="s">
        <v>8</v>
      </c>
      <c r="E32" s="71">
        <f>0.009*E28</f>
        <v>12.617999999999999</v>
      </c>
      <c r="F32" s="189"/>
      <c r="G32" s="189">
        <f t="shared" si="0"/>
        <v>0</v>
      </c>
      <c r="H32" s="189"/>
      <c r="I32" s="71">
        <f t="shared" si="1"/>
        <v>0</v>
      </c>
      <c r="J32" s="71"/>
      <c r="K32" s="71">
        <f t="shared" si="2"/>
        <v>0</v>
      </c>
      <c r="L32" s="71">
        <f t="shared" si="3"/>
        <v>0</v>
      </c>
    </row>
    <row r="33" spans="1:14" s="65" customFormat="1" ht="13.5" x14ac:dyDescent="0.35">
      <c r="A33" s="57"/>
      <c r="B33" s="69" t="s">
        <v>37</v>
      </c>
      <c r="C33" s="69"/>
      <c r="D33" s="52" t="s">
        <v>10</v>
      </c>
      <c r="E33" s="71">
        <v>1700</v>
      </c>
      <c r="F33" s="189"/>
      <c r="G33" s="189">
        <f t="shared" si="0"/>
        <v>0</v>
      </c>
      <c r="H33" s="189"/>
      <c r="I33" s="71">
        <f t="shared" si="1"/>
        <v>0</v>
      </c>
      <c r="J33" s="71"/>
      <c r="K33" s="71">
        <f t="shared" si="2"/>
        <v>0</v>
      </c>
      <c r="L33" s="71">
        <f t="shared" si="3"/>
        <v>0</v>
      </c>
    </row>
    <row r="34" spans="1:14" s="65" customFormat="1" ht="13.5" x14ac:dyDescent="0.35">
      <c r="A34" s="57"/>
      <c r="B34" s="69" t="s">
        <v>36</v>
      </c>
      <c r="C34" s="69"/>
      <c r="D34" s="52" t="s">
        <v>10</v>
      </c>
      <c r="E34" s="71">
        <v>550</v>
      </c>
      <c r="F34" s="189"/>
      <c r="G34" s="189">
        <f t="shared" si="0"/>
        <v>0</v>
      </c>
      <c r="H34" s="189"/>
      <c r="I34" s="71">
        <f t="shared" si="1"/>
        <v>0</v>
      </c>
      <c r="J34" s="71"/>
      <c r="K34" s="71">
        <f t="shared" si="2"/>
        <v>0</v>
      </c>
      <c r="L34" s="71">
        <f t="shared" si="3"/>
        <v>0</v>
      </c>
    </row>
    <row r="35" spans="1:14" s="65" customFormat="1" ht="13.5" x14ac:dyDescent="0.35">
      <c r="A35" s="57"/>
      <c r="B35" s="69" t="s">
        <v>11</v>
      </c>
      <c r="C35" s="69"/>
      <c r="D35" s="52" t="s">
        <v>12</v>
      </c>
      <c r="E35" s="71">
        <f>E28*0.003</f>
        <v>4.2060000000000004</v>
      </c>
      <c r="F35" s="189"/>
      <c r="G35" s="189">
        <f t="shared" si="0"/>
        <v>0</v>
      </c>
      <c r="H35" s="189"/>
      <c r="I35" s="71">
        <f t="shared" si="1"/>
        <v>0</v>
      </c>
      <c r="J35" s="71"/>
      <c r="K35" s="71">
        <f t="shared" si="2"/>
        <v>0</v>
      </c>
      <c r="L35" s="71">
        <f t="shared" si="3"/>
        <v>0</v>
      </c>
    </row>
    <row r="36" spans="1:14" s="65" customFormat="1" ht="119.5" customHeight="1" x14ac:dyDescent="0.3">
      <c r="A36" s="57">
        <v>10</v>
      </c>
      <c r="B36" s="122" t="s">
        <v>120</v>
      </c>
      <c r="C36" s="122"/>
      <c r="D36" s="55" t="s">
        <v>9</v>
      </c>
      <c r="E36" s="28">
        <v>3</v>
      </c>
      <c r="F36" s="193"/>
      <c r="G36" s="189">
        <f t="shared" si="0"/>
        <v>0</v>
      </c>
      <c r="H36" s="193"/>
      <c r="I36" s="71"/>
      <c r="J36" s="28"/>
      <c r="K36" s="71">
        <f t="shared" si="2"/>
        <v>0</v>
      </c>
      <c r="L36" s="71">
        <f t="shared" si="3"/>
        <v>0</v>
      </c>
      <c r="M36" s="121"/>
    </row>
    <row r="37" spans="1:14" s="65" customFormat="1" ht="94.9" customHeight="1" x14ac:dyDescent="0.3">
      <c r="A37" s="57">
        <v>11</v>
      </c>
      <c r="B37" s="77" t="s">
        <v>105</v>
      </c>
      <c r="C37" s="77"/>
      <c r="D37" s="55" t="s">
        <v>9</v>
      </c>
      <c r="E37" s="28">
        <v>30</v>
      </c>
      <c r="F37" s="193"/>
      <c r="G37" s="189">
        <f t="shared" si="0"/>
        <v>0</v>
      </c>
      <c r="H37" s="193"/>
      <c r="I37" s="71">
        <f t="shared" ref="I37:I44" si="4">H37*E37</f>
        <v>0</v>
      </c>
      <c r="J37" s="28"/>
      <c r="K37" s="71">
        <f t="shared" si="2"/>
        <v>0</v>
      </c>
      <c r="L37" s="71">
        <f t="shared" si="3"/>
        <v>0</v>
      </c>
    </row>
    <row r="38" spans="1:14" s="65" customFormat="1" ht="13.5" x14ac:dyDescent="0.3">
      <c r="A38" s="57">
        <v>12</v>
      </c>
      <c r="B38" s="77" t="s">
        <v>106</v>
      </c>
      <c r="C38" s="27"/>
      <c r="D38" s="55" t="s">
        <v>9</v>
      </c>
      <c r="E38" s="28">
        <v>5</v>
      </c>
      <c r="F38" s="193"/>
      <c r="G38" s="189">
        <f t="shared" si="0"/>
        <v>0</v>
      </c>
      <c r="H38" s="193"/>
      <c r="I38" s="71">
        <f t="shared" si="4"/>
        <v>0</v>
      </c>
      <c r="J38" s="28"/>
      <c r="K38" s="71">
        <f t="shared" si="2"/>
        <v>0</v>
      </c>
      <c r="L38" s="71">
        <f t="shared" si="3"/>
        <v>0</v>
      </c>
    </row>
    <row r="39" spans="1:14" s="65" customFormat="1" ht="40.5" x14ac:dyDescent="0.3">
      <c r="A39" s="57">
        <v>13</v>
      </c>
      <c r="B39" s="103" t="s">
        <v>107</v>
      </c>
      <c r="C39" s="125"/>
      <c r="D39" s="110" t="s">
        <v>108</v>
      </c>
      <c r="E39" s="89">
        <v>100</v>
      </c>
      <c r="F39" s="194"/>
      <c r="G39" s="189">
        <f t="shared" si="0"/>
        <v>0</v>
      </c>
      <c r="H39" s="194"/>
      <c r="I39" s="71">
        <f t="shared" si="4"/>
        <v>0</v>
      </c>
      <c r="J39" s="89"/>
      <c r="K39" s="71">
        <f t="shared" si="2"/>
        <v>0</v>
      </c>
      <c r="L39" s="71">
        <f t="shared" si="3"/>
        <v>0</v>
      </c>
    </row>
    <row r="40" spans="1:14" s="65" customFormat="1" ht="13.5" x14ac:dyDescent="0.3">
      <c r="A40" s="57"/>
      <c r="B40" s="101" t="s">
        <v>11</v>
      </c>
      <c r="C40" s="101"/>
      <c r="D40" s="109" t="s">
        <v>12</v>
      </c>
      <c r="E40" s="89">
        <f>SUM(E36:E39)*0.1</f>
        <v>13.8</v>
      </c>
      <c r="F40" s="194"/>
      <c r="G40" s="189">
        <f t="shared" si="0"/>
        <v>0</v>
      </c>
      <c r="H40" s="194"/>
      <c r="I40" s="71">
        <f t="shared" si="4"/>
        <v>0</v>
      </c>
      <c r="J40" s="89"/>
      <c r="K40" s="71">
        <f t="shared" si="2"/>
        <v>0</v>
      </c>
      <c r="L40" s="71">
        <f t="shared" si="3"/>
        <v>0</v>
      </c>
    </row>
    <row r="41" spans="1:14" s="65" customFormat="1" ht="27" x14ac:dyDescent="0.3">
      <c r="A41" s="57">
        <v>22</v>
      </c>
      <c r="B41" s="129" t="s">
        <v>114</v>
      </c>
      <c r="C41" s="107"/>
      <c r="D41" s="110" t="s">
        <v>112</v>
      </c>
      <c r="E41" s="89">
        <v>10</v>
      </c>
      <c r="F41" s="194"/>
      <c r="G41" s="189">
        <f t="shared" si="0"/>
        <v>0</v>
      </c>
      <c r="H41" s="194"/>
      <c r="I41" s="71">
        <f t="shared" si="4"/>
        <v>0</v>
      </c>
      <c r="J41" s="89"/>
      <c r="K41" s="71">
        <f t="shared" si="2"/>
        <v>0</v>
      </c>
      <c r="L41" s="71">
        <f t="shared" si="3"/>
        <v>0</v>
      </c>
    </row>
    <row r="42" spans="1:14" s="65" customFormat="1" ht="77.25" customHeight="1" x14ac:dyDescent="0.3">
      <c r="A42" s="57">
        <v>23</v>
      </c>
      <c r="B42" s="128" t="s">
        <v>160</v>
      </c>
      <c r="C42" s="106"/>
      <c r="D42" s="110" t="s">
        <v>112</v>
      </c>
      <c r="E42" s="89">
        <v>3</v>
      </c>
      <c r="F42" s="194"/>
      <c r="G42" s="189">
        <f t="shared" ref="G42" si="5">F42*E42</f>
        <v>0</v>
      </c>
      <c r="H42" s="194"/>
      <c r="I42" s="71">
        <f t="shared" si="4"/>
        <v>0</v>
      </c>
      <c r="J42" s="89"/>
      <c r="K42" s="71">
        <f t="shared" si="2"/>
        <v>0</v>
      </c>
      <c r="L42" s="71">
        <f t="shared" si="3"/>
        <v>0</v>
      </c>
    </row>
    <row r="43" spans="1:14" s="65" customFormat="1" ht="16.899999999999999" customHeight="1" x14ac:dyDescent="0.3">
      <c r="A43" s="57">
        <v>24</v>
      </c>
      <c r="B43" s="129" t="s">
        <v>161</v>
      </c>
      <c r="C43" s="107"/>
      <c r="D43" s="110" t="s">
        <v>9</v>
      </c>
      <c r="E43" s="89">
        <v>6</v>
      </c>
      <c r="F43" s="194"/>
      <c r="G43" s="189">
        <f t="shared" si="0"/>
        <v>0</v>
      </c>
      <c r="H43" s="194"/>
      <c r="I43" s="71">
        <f t="shared" si="4"/>
        <v>0</v>
      </c>
      <c r="J43" s="89"/>
      <c r="K43" s="71">
        <f t="shared" si="2"/>
        <v>0</v>
      </c>
      <c r="L43" s="71">
        <f t="shared" si="3"/>
        <v>0</v>
      </c>
    </row>
    <row r="44" spans="1:14" s="65" customFormat="1" ht="13.5" x14ac:dyDescent="0.3">
      <c r="A44" s="57">
        <v>25</v>
      </c>
      <c r="B44" s="129" t="s">
        <v>162</v>
      </c>
      <c r="C44" s="74"/>
      <c r="D44" s="52" t="s">
        <v>112</v>
      </c>
      <c r="E44" s="71">
        <v>24</v>
      </c>
      <c r="F44" s="189"/>
      <c r="G44" s="189">
        <f t="shared" si="0"/>
        <v>0</v>
      </c>
      <c r="H44" s="189"/>
      <c r="I44" s="71">
        <f t="shared" si="4"/>
        <v>0</v>
      </c>
      <c r="J44" s="71"/>
      <c r="K44" s="71">
        <f t="shared" si="2"/>
        <v>0</v>
      </c>
      <c r="L44" s="71">
        <f t="shared" si="3"/>
        <v>0</v>
      </c>
    </row>
    <row r="45" spans="1:14" s="65" customFormat="1" ht="16.149999999999999" customHeight="1" x14ac:dyDescent="0.3">
      <c r="A45" s="80"/>
      <c r="B45" s="9" t="s">
        <v>6</v>
      </c>
      <c r="C45" s="9"/>
      <c r="D45" s="52"/>
      <c r="E45" s="71"/>
      <c r="F45" s="189"/>
      <c r="G45" s="197">
        <f>SUM(G9:G44)</f>
        <v>0</v>
      </c>
      <c r="H45" s="197"/>
      <c r="I45" s="98">
        <f>SUM(I9:I44)</f>
        <v>0</v>
      </c>
      <c r="J45" s="98"/>
      <c r="K45" s="98">
        <f>SUM(K9:K44)</f>
        <v>0</v>
      </c>
      <c r="L45" s="98">
        <f>SUM(L9:L44)</f>
        <v>0</v>
      </c>
    </row>
    <row r="46" spans="1:14" s="96" customFormat="1" ht="16.149999999999999" customHeight="1" x14ac:dyDescent="0.35">
      <c r="A46" s="80"/>
      <c r="B46" s="97" t="s">
        <v>14</v>
      </c>
      <c r="C46" s="97"/>
      <c r="D46" s="59" t="s">
        <v>209</v>
      </c>
      <c r="E46" s="71"/>
      <c r="F46" s="198"/>
      <c r="G46" s="189"/>
      <c r="H46" s="189"/>
      <c r="I46" s="71"/>
      <c r="J46" s="71"/>
      <c r="K46" s="72"/>
      <c r="L46" s="71" t="e">
        <f>L45*D46</f>
        <v>#VALUE!</v>
      </c>
      <c r="N46" s="65"/>
    </row>
    <row r="47" spans="1:14" s="96" customFormat="1" ht="16.149999999999999" customHeight="1" x14ac:dyDescent="0.35">
      <c r="A47" s="80"/>
      <c r="B47" s="97" t="s">
        <v>6</v>
      </c>
      <c r="C47" s="97"/>
      <c r="D47" s="52"/>
      <c r="E47" s="71"/>
      <c r="F47" s="198"/>
      <c r="G47" s="198"/>
      <c r="H47" s="189"/>
      <c r="I47" s="71"/>
      <c r="J47" s="71"/>
      <c r="K47" s="72"/>
      <c r="L47" s="71" t="e">
        <f>L46+L45</f>
        <v>#VALUE!</v>
      </c>
      <c r="N47" s="65"/>
    </row>
    <row r="48" spans="1:14" s="96" customFormat="1" ht="16.149999999999999" customHeight="1" x14ac:dyDescent="0.35">
      <c r="A48" s="80"/>
      <c r="B48" s="97" t="s">
        <v>15</v>
      </c>
      <c r="C48" s="97"/>
      <c r="D48" s="59" t="s">
        <v>209</v>
      </c>
      <c r="E48" s="71"/>
      <c r="F48" s="198"/>
      <c r="G48" s="198"/>
      <c r="H48" s="189"/>
      <c r="I48" s="71"/>
      <c r="J48" s="71"/>
      <c r="K48" s="72"/>
      <c r="L48" s="71" t="e">
        <f>L47*D48</f>
        <v>#VALUE!</v>
      </c>
      <c r="N48" s="65"/>
    </row>
    <row r="49" spans="1:14" s="96" customFormat="1" ht="16.149999999999999" customHeight="1" x14ac:dyDescent="0.35">
      <c r="A49" s="80"/>
      <c r="B49" s="97" t="s">
        <v>6</v>
      </c>
      <c r="C49" s="97"/>
      <c r="D49" s="52"/>
      <c r="E49" s="71"/>
      <c r="F49" s="198"/>
      <c r="G49" s="198"/>
      <c r="H49" s="189"/>
      <c r="I49" s="71"/>
      <c r="J49" s="71"/>
      <c r="K49" s="72"/>
      <c r="L49" s="71" t="e">
        <f>SUM(L47:L48)</f>
        <v>#VALUE!</v>
      </c>
      <c r="N49" s="65"/>
    </row>
    <row r="50" spans="1:14" s="65" customFormat="1" ht="16.149999999999999" customHeight="1" x14ac:dyDescent="0.35">
      <c r="A50" s="81"/>
      <c r="B50" s="97" t="s">
        <v>16</v>
      </c>
      <c r="C50" s="97"/>
      <c r="D50" s="59" t="s">
        <v>209</v>
      </c>
      <c r="E50" s="71"/>
      <c r="F50" s="198"/>
      <c r="G50" s="198"/>
      <c r="H50" s="189"/>
      <c r="I50" s="71"/>
      <c r="J50" s="71"/>
      <c r="K50" s="72"/>
      <c r="L50" s="71" t="e">
        <f>L49*D50</f>
        <v>#VALUE!</v>
      </c>
    </row>
    <row r="51" spans="1:14" s="65" customFormat="1" ht="16.149999999999999" customHeight="1" x14ac:dyDescent="0.35">
      <c r="A51" s="81"/>
      <c r="B51" s="97" t="s">
        <v>6</v>
      </c>
      <c r="C51" s="97"/>
      <c r="D51" s="52"/>
      <c r="E51" s="71"/>
      <c r="F51" s="198"/>
      <c r="G51" s="198"/>
      <c r="H51" s="189"/>
      <c r="I51" s="71"/>
      <c r="J51" s="71"/>
      <c r="K51" s="72"/>
      <c r="L51" s="71" t="e">
        <f>SUM(L49:L50)</f>
        <v>#VALUE!</v>
      </c>
    </row>
    <row r="52" spans="1:14" s="65" customFormat="1" ht="16.149999999999999" customHeight="1" x14ac:dyDescent="0.35">
      <c r="A52" s="80"/>
      <c r="B52" s="97" t="s">
        <v>19</v>
      </c>
      <c r="C52" s="97"/>
      <c r="D52" s="59" t="s">
        <v>209</v>
      </c>
      <c r="E52" s="71"/>
      <c r="F52" s="198"/>
      <c r="G52" s="198"/>
      <c r="H52" s="189"/>
      <c r="I52" s="71"/>
      <c r="J52" s="71"/>
      <c r="K52" s="72"/>
      <c r="L52" s="71" t="e">
        <f>L51*D52</f>
        <v>#VALUE!</v>
      </c>
    </row>
    <row r="53" spans="1:14" s="65" customFormat="1" ht="16.149999999999999" customHeight="1" x14ac:dyDescent="0.35">
      <c r="A53" s="82"/>
      <c r="B53" s="97" t="s">
        <v>28</v>
      </c>
      <c r="C53" s="97"/>
      <c r="D53" s="59">
        <v>0.02</v>
      </c>
      <c r="E53" s="71"/>
      <c r="F53" s="198"/>
      <c r="G53" s="198"/>
      <c r="H53" s="189"/>
      <c r="I53" s="71"/>
      <c r="J53" s="71"/>
      <c r="K53" s="72"/>
      <c r="L53" s="71">
        <f>I45*D53</f>
        <v>0</v>
      </c>
    </row>
    <row r="54" spans="1:14" s="65" customFormat="1" ht="16.149999999999999" customHeight="1" x14ac:dyDescent="0.35">
      <c r="A54" s="83"/>
      <c r="B54" s="97" t="s">
        <v>6</v>
      </c>
      <c r="C54" s="97"/>
      <c r="D54" s="52"/>
      <c r="E54" s="71"/>
      <c r="F54" s="198"/>
      <c r="G54" s="198"/>
      <c r="H54" s="189"/>
      <c r="I54" s="71"/>
      <c r="J54" s="71"/>
      <c r="K54" s="72"/>
      <c r="L54" s="71" t="e">
        <f>L53+L52+L51</f>
        <v>#VALUE!</v>
      </c>
    </row>
    <row r="55" spans="1:14" s="65" customFormat="1" ht="16.149999999999999" customHeight="1" x14ac:dyDescent="0.3">
      <c r="A55" s="83"/>
      <c r="B55" s="9" t="s">
        <v>17</v>
      </c>
      <c r="C55" s="9"/>
      <c r="D55" s="59">
        <v>0.18</v>
      </c>
      <c r="E55" s="71"/>
      <c r="F55" s="198"/>
      <c r="G55" s="198"/>
      <c r="H55" s="198"/>
      <c r="I55" s="72"/>
      <c r="J55" s="72"/>
      <c r="K55" s="72"/>
      <c r="L55" s="71" t="e">
        <f>L54*D55</f>
        <v>#VALUE!</v>
      </c>
    </row>
    <row r="56" spans="1:14" s="65" customFormat="1" ht="16.149999999999999" customHeight="1" x14ac:dyDescent="0.35">
      <c r="A56" s="83"/>
      <c r="B56" s="70" t="s">
        <v>18</v>
      </c>
      <c r="C56" s="70"/>
      <c r="D56" s="60"/>
      <c r="E56" s="72"/>
      <c r="F56" s="198"/>
      <c r="G56" s="198"/>
      <c r="H56" s="198"/>
      <c r="I56" s="72"/>
      <c r="J56" s="72"/>
      <c r="K56" s="72"/>
      <c r="L56" s="73" t="e">
        <f>L55+L54</f>
        <v>#VALUE!</v>
      </c>
    </row>
  </sheetData>
  <autoFilter ref="A6:O59" xr:uid="{00000000-0001-0000-0100-000000000000}"/>
  <mergeCells count="11">
    <mergeCell ref="F3:I3"/>
    <mergeCell ref="A1:L1"/>
    <mergeCell ref="J3:L3"/>
    <mergeCell ref="J4:K4"/>
    <mergeCell ref="L4:L5"/>
    <mergeCell ref="A4:A5"/>
    <mergeCell ref="B4:B5"/>
    <mergeCell ref="D4:D5"/>
    <mergeCell ref="E4:E5"/>
    <mergeCell ref="F4:G4"/>
    <mergeCell ref="H4:I4"/>
  </mergeCells>
  <pageMargins left="0.7" right="0.7" top="0.75" bottom="0.75" header="0.3" footer="0.3"/>
  <pageSetup orientation="landscape" horizontalDpi="300" verticalDpi="300" r:id="rId1"/>
  <ignoredErrors>
    <ignoredError sqref="L47 L49:L5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2C99B-9AA9-4A66-8698-51F677B83243}">
  <dimension ref="A1:N84"/>
  <sheetViews>
    <sheetView workbookViewId="0">
      <pane xSplit="4" ySplit="6" topLeftCell="E70" activePane="bottomRight" state="frozen"/>
      <selection pane="topRight" activeCell="E1" sqref="E1"/>
      <selection pane="bottomLeft" activeCell="A7" sqref="A7"/>
      <selection pane="bottomRight" activeCell="G79" sqref="G79"/>
    </sheetView>
  </sheetViews>
  <sheetFormatPr defaultColWidth="9.08984375" defaultRowHeight="12" x14ac:dyDescent="0.3"/>
  <cols>
    <col min="1" max="1" width="3.36328125" style="67" customWidth="1"/>
    <col min="2" max="2" width="54.36328125" style="42" customWidth="1"/>
    <col min="3" max="3" width="8.984375E-2" style="42" hidden="1" customWidth="1"/>
    <col min="4" max="4" width="7.6328125" style="67" customWidth="1"/>
    <col min="5" max="5" width="9.7265625" style="42" customWidth="1"/>
    <col min="6" max="6" width="9.36328125" style="199" customWidth="1"/>
    <col min="7" max="7" width="12.6328125" style="199" customWidth="1"/>
    <col min="8" max="8" width="7.6328125" style="199" customWidth="1"/>
    <col min="9" max="9" width="12.36328125" style="199" customWidth="1"/>
    <col min="10" max="10" width="11.36328125" style="42" customWidth="1"/>
    <col min="11" max="11" width="9.08984375" style="42"/>
    <col min="12" max="12" width="11.7265625" style="42" customWidth="1"/>
    <col min="13" max="13" width="6" style="42" customWidth="1"/>
    <col min="14" max="16384" width="9.08984375" style="42"/>
  </cols>
  <sheetData>
    <row r="1" spans="1:14" ht="19.899999999999999" customHeight="1" x14ac:dyDescent="0.3">
      <c r="A1" s="170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2"/>
    </row>
    <row r="2" spans="1:14" ht="19.149999999999999" customHeight="1" x14ac:dyDescent="0.3">
      <c r="A2" s="78"/>
      <c r="B2" s="137" t="s">
        <v>163</v>
      </c>
      <c r="C2" s="137"/>
      <c r="D2" s="137"/>
      <c r="E2" s="137"/>
      <c r="F2" s="182"/>
      <c r="G2" s="182"/>
      <c r="H2" s="182"/>
      <c r="I2" s="182"/>
      <c r="J2" s="137"/>
      <c r="K2" s="137"/>
      <c r="L2" s="138"/>
    </row>
    <row r="3" spans="1:14" ht="18" customHeight="1" x14ac:dyDescent="0.3">
      <c r="A3" s="79"/>
      <c r="B3" s="108"/>
      <c r="C3" s="108"/>
      <c r="D3" s="75"/>
      <c r="E3" s="76"/>
      <c r="F3" s="183" t="s">
        <v>22</v>
      </c>
      <c r="G3" s="183"/>
      <c r="H3" s="183"/>
      <c r="I3" s="183"/>
      <c r="J3" s="135" t="e">
        <f>L84</f>
        <v>#VALUE!</v>
      </c>
      <c r="K3" s="135"/>
      <c r="L3" s="136"/>
      <c r="N3" s="134"/>
    </row>
    <row r="4" spans="1:14" ht="15" customHeight="1" x14ac:dyDescent="0.3">
      <c r="A4" s="162" t="s">
        <v>26</v>
      </c>
      <c r="B4" s="164" t="s">
        <v>0</v>
      </c>
      <c r="C4" s="123"/>
      <c r="D4" s="162" t="s">
        <v>1</v>
      </c>
      <c r="E4" s="166" t="s">
        <v>2</v>
      </c>
      <c r="F4" s="184" t="s">
        <v>3</v>
      </c>
      <c r="G4" s="185"/>
      <c r="H4" s="184" t="s">
        <v>4</v>
      </c>
      <c r="I4" s="185"/>
      <c r="J4" s="160" t="s">
        <v>5</v>
      </c>
      <c r="K4" s="161"/>
      <c r="L4" s="162" t="s">
        <v>6</v>
      </c>
    </row>
    <row r="5" spans="1:14" ht="17.25" customHeight="1" x14ac:dyDescent="0.3">
      <c r="A5" s="163"/>
      <c r="B5" s="165"/>
      <c r="C5" s="124"/>
      <c r="D5" s="163"/>
      <c r="E5" s="167"/>
      <c r="F5" s="186" t="s">
        <v>7</v>
      </c>
      <c r="G5" s="186" t="s">
        <v>6</v>
      </c>
      <c r="H5" s="186" t="s">
        <v>7</v>
      </c>
      <c r="I5" s="186" t="s">
        <v>6</v>
      </c>
      <c r="J5" s="52" t="s">
        <v>7</v>
      </c>
      <c r="K5" s="52" t="s">
        <v>6</v>
      </c>
      <c r="L5" s="163"/>
    </row>
    <row r="6" spans="1:14" ht="12.5" x14ac:dyDescent="0.35">
      <c r="A6" s="53">
        <v>1</v>
      </c>
      <c r="B6" s="34">
        <v>2</v>
      </c>
      <c r="C6" s="34"/>
      <c r="D6" s="54">
        <v>3</v>
      </c>
      <c r="E6" s="34">
        <v>4</v>
      </c>
      <c r="F6" s="187">
        <v>5</v>
      </c>
      <c r="G6" s="187">
        <v>6</v>
      </c>
      <c r="H6" s="187">
        <v>7</v>
      </c>
      <c r="I6" s="187">
        <v>8</v>
      </c>
      <c r="J6" s="34">
        <v>9</v>
      </c>
      <c r="K6" s="34">
        <v>10</v>
      </c>
      <c r="L6" s="34">
        <v>11</v>
      </c>
    </row>
    <row r="7" spans="1:14" ht="13.5" x14ac:dyDescent="0.3">
      <c r="A7" s="53"/>
      <c r="B7" s="10" t="s">
        <v>86</v>
      </c>
      <c r="C7" s="10"/>
      <c r="D7" s="58"/>
      <c r="E7" s="47"/>
      <c r="F7" s="188"/>
      <c r="G7" s="188"/>
      <c r="H7" s="188"/>
      <c r="I7" s="188"/>
      <c r="J7" s="47"/>
      <c r="K7" s="47"/>
      <c r="L7" s="47"/>
    </row>
    <row r="8" spans="1:14" s="65" customFormat="1" ht="17.5" customHeight="1" x14ac:dyDescent="0.3">
      <c r="A8" s="57">
        <v>1</v>
      </c>
      <c r="B8" s="20" t="s">
        <v>122</v>
      </c>
      <c r="C8" s="20"/>
      <c r="D8" s="52" t="s">
        <v>73</v>
      </c>
      <c r="E8" s="71">
        <v>5</v>
      </c>
      <c r="F8" s="189"/>
      <c r="G8" s="189">
        <f t="shared" ref="G8:G72" si="0">F8*E8</f>
        <v>0</v>
      </c>
      <c r="H8" s="189"/>
      <c r="I8" s="189">
        <f t="shared" ref="I8:I17" si="1">H8*E8</f>
        <v>0</v>
      </c>
      <c r="J8" s="71"/>
      <c r="K8" s="71">
        <f t="shared" ref="K8:K17" si="2">J8*E8</f>
        <v>0</v>
      </c>
      <c r="L8" s="71">
        <f t="shared" ref="L8:L17" si="3">K8+I8+G8</f>
        <v>0</v>
      </c>
    </row>
    <row r="9" spans="1:14" s="65" customFormat="1" ht="17.5" customHeight="1" x14ac:dyDescent="0.3">
      <c r="A9" s="57">
        <v>2</v>
      </c>
      <c r="B9" s="20" t="s">
        <v>123</v>
      </c>
      <c r="C9" s="20"/>
      <c r="D9" s="52" t="s">
        <v>73</v>
      </c>
      <c r="E9" s="71">
        <v>19</v>
      </c>
      <c r="F9" s="189"/>
      <c r="G9" s="189">
        <f t="shared" si="0"/>
        <v>0</v>
      </c>
      <c r="H9" s="189"/>
      <c r="I9" s="189">
        <f t="shared" si="1"/>
        <v>0</v>
      </c>
      <c r="J9" s="71"/>
      <c r="K9" s="71">
        <f t="shared" si="2"/>
        <v>0</v>
      </c>
      <c r="L9" s="71">
        <f t="shared" si="3"/>
        <v>0</v>
      </c>
    </row>
    <row r="10" spans="1:14" s="65" customFormat="1" ht="17.5" customHeight="1" x14ac:dyDescent="0.3">
      <c r="A10" s="57">
        <v>3</v>
      </c>
      <c r="B10" s="20" t="s">
        <v>90</v>
      </c>
      <c r="C10" s="20"/>
      <c r="D10" s="52" t="s">
        <v>73</v>
      </c>
      <c r="E10" s="71">
        <v>154</v>
      </c>
      <c r="F10" s="189"/>
      <c r="G10" s="189">
        <f t="shared" si="0"/>
        <v>0</v>
      </c>
      <c r="H10" s="189"/>
      <c r="I10" s="189">
        <f t="shared" si="1"/>
        <v>0</v>
      </c>
      <c r="J10" s="71"/>
      <c r="K10" s="71">
        <f t="shared" si="2"/>
        <v>0</v>
      </c>
      <c r="L10" s="71">
        <f t="shared" si="3"/>
        <v>0</v>
      </c>
    </row>
    <row r="11" spans="1:14" s="65" customFormat="1" ht="17.5" customHeight="1" x14ac:dyDescent="0.3">
      <c r="A11" s="57">
        <v>4</v>
      </c>
      <c r="B11" s="20" t="s">
        <v>85</v>
      </c>
      <c r="C11" s="20"/>
      <c r="D11" s="52" t="s">
        <v>9</v>
      </c>
      <c r="E11" s="71">
        <v>12</v>
      </c>
      <c r="F11" s="189"/>
      <c r="G11" s="189">
        <f t="shared" si="0"/>
        <v>0</v>
      </c>
      <c r="H11" s="189"/>
      <c r="I11" s="189">
        <f t="shared" si="1"/>
        <v>0</v>
      </c>
      <c r="J11" s="71"/>
      <c r="K11" s="71">
        <f t="shared" si="2"/>
        <v>0</v>
      </c>
      <c r="L11" s="71">
        <f t="shared" si="3"/>
        <v>0</v>
      </c>
    </row>
    <row r="12" spans="1:14" s="65" customFormat="1" ht="17.5" customHeight="1" x14ac:dyDescent="0.3">
      <c r="A12" s="57">
        <v>5</v>
      </c>
      <c r="B12" s="20" t="s">
        <v>124</v>
      </c>
      <c r="C12" s="20"/>
      <c r="D12" s="52" t="s">
        <v>73</v>
      </c>
      <c r="E12" s="71">
        <v>305</v>
      </c>
      <c r="F12" s="189"/>
      <c r="G12" s="189">
        <f t="shared" si="0"/>
        <v>0</v>
      </c>
      <c r="H12" s="189"/>
      <c r="I12" s="189">
        <f t="shared" si="1"/>
        <v>0</v>
      </c>
      <c r="J12" s="71"/>
      <c r="K12" s="71">
        <f t="shared" si="2"/>
        <v>0</v>
      </c>
      <c r="L12" s="71">
        <f t="shared" si="3"/>
        <v>0</v>
      </c>
    </row>
    <row r="13" spans="1:14" s="65" customFormat="1" ht="33" customHeight="1" x14ac:dyDescent="0.3">
      <c r="A13" s="57">
        <v>8</v>
      </c>
      <c r="B13" s="9" t="s">
        <v>68</v>
      </c>
      <c r="C13" s="9"/>
      <c r="D13" s="52" t="s">
        <v>23</v>
      </c>
      <c r="E13" s="71">
        <v>4</v>
      </c>
      <c r="F13" s="189"/>
      <c r="G13" s="189">
        <f t="shared" si="0"/>
        <v>0</v>
      </c>
      <c r="H13" s="189"/>
      <c r="I13" s="189">
        <f t="shared" si="1"/>
        <v>0</v>
      </c>
      <c r="J13" s="71"/>
      <c r="K13" s="71">
        <f t="shared" si="2"/>
        <v>0</v>
      </c>
      <c r="L13" s="71">
        <f t="shared" si="3"/>
        <v>0</v>
      </c>
    </row>
    <row r="14" spans="1:14" s="65" customFormat="1" ht="13.5" x14ac:dyDescent="0.3">
      <c r="A14" s="57"/>
      <c r="B14" s="68" t="s">
        <v>87</v>
      </c>
      <c r="C14" s="68"/>
      <c r="D14" s="52"/>
      <c r="E14" s="71"/>
      <c r="F14" s="189"/>
      <c r="G14" s="189">
        <f t="shared" si="0"/>
        <v>0</v>
      </c>
      <c r="H14" s="189"/>
      <c r="I14" s="189">
        <f t="shared" si="1"/>
        <v>0</v>
      </c>
      <c r="J14" s="71"/>
      <c r="K14" s="71">
        <f t="shared" si="2"/>
        <v>0</v>
      </c>
      <c r="L14" s="71">
        <f t="shared" si="3"/>
        <v>0</v>
      </c>
    </row>
    <row r="15" spans="1:14" s="65" customFormat="1" ht="24.65" customHeight="1" x14ac:dyDescent="0.35">
      <c r="A15" s="57">
        <v>1</v>
      </c>
      <c r="B15" s="85" t="s">
        <v>118</v>
      </c>
      <c r="C15" s="85"/>
      <c r="D15" s="111">
        <v>30</v>
      </c>
      <c r="E15" s="90">
        <v>0</v>
      </c>
      <c r="F15" s="190"/>
      <c r="G15" s="189">
        <f t="shared" si="0"/>
        <v>0</v>
      </c>
      <c r="H15" s="191"/>
      <c r="I15" s="189">
        <f t="shared" si="1"/>
        <v>0</v>
      </c>
      <c r="J15" s="16"/>
      <c r="K15" s="71">
        <f t="shared" si="2"/>
        <v>0</v>
      </c>
      <c r="L15" s="71">
        <f t="shared" si="3"/>
        <v>0</v>
      </c>
    </row>
    <row r="16" spans="1:14" s="65" customFormat="1" ht="13.5" x14ac:dyDescent="0.3">
      <c r="A16" s="57"/>
      <c r="B16" s="87" t="s">
        <v>96</v>
      </c>
      <c r="C16" s="87"/>
      <c r="D16" s="52" t="s">
        <v>92</v>
      </c>
      <c r="E16" s="16">
        <v>1.5</v>
      </c>
      <c r="F16" s="191"/>
      <c r="G16" s="189">
        <f t="shared" si="0"/>
        <v>0</v>
      </c>
      <c r="H16" s="191"/>
      <c r="I16" s="189">
        <f t="shared" si="1"/>
        <v>0</v>
      </c>
      <c r="J16" s="16"/>
      <c r="K16" s="71">
        <f t="shared" si="2"/>
        <v>0</v>
      </c>
      <c r="L16" s="71">
        <f t="shared" si="3"/>
        <v>0</v>
      </c>
    </row>
    <row r="17" spans="1:12" s="65" customFormat="1" ht="13.5" x14ac:dyDescent="0.3">
      <c r="A17" s="57"/>
      <c r="B17" s="87" t="s">
        <v>97</v>
      </c>
      <c r="C17" s="87"/>
      <c r="D17" s="52" t="s">
        <v>93</v>
      </c>
      <c r="E17" s="16">
        <v>480</v>
      </c>
      <c r="F17" s="191"/>
      <c r="G17" s="189">
        <f t="shared" si="0"/>
        <v>0</v>
      </c>
      <c r="H17" s="191"/>
      <c r="I17" s="189">
        <f t="shared" si="1"/>
        <v>0</v>
      </c>
      <c r="J17" s="16"/>
      <c r="K17" s="71">
        <f t="shared" si="2"/>
        <v>0</v>
      </c>
      <c r="L17" s="71">
        <f t="shared" si="3"/>
        <v>0</v>
      </c>
    </row>
    <row r="18" spans="1:12" s="65" customFormat="1" ht="13.5" x14ac:dyDescent="0.3">
      <c r="A18" s="57"/>
      <c r="B18" s="87"/>
      <c r="C18" s="87"/>
      <c r="D18" s="52"/>
      <c r="E18" s="16"/>
      <c r="F18" s="191"/>
      <c r="G18" s="189"/>
      <c r="H18" s="191"/>
      <c r="I18" s="189"/>
      <c r="J18" s="16"/>
      <c r="K18" s="71"/>
      <c r="L18" s="71"/>
    </row>
    <row r="19" spans="1:12" s="65" customFormat="1" ht="13.5" x14ac:dyDescent="0.3">
      <c r="A19" s="57"/>
      <c r="B19" s="88" t="s">
        <v>11</v>
      </c>
      <c r="C19" s="88"/>
      <c r="D19" s="52" t="s">
        <v>12</v>
      </c>
      <c r="E19" s="16">
        <v>1</v>
      </c>
      <c r="F19" s="191"/>
      <c r="G19" s="189">
        <f t="shared" si="0"/>
        <v>0</v>
      </c>
      <c r="H19" s="191"/>
      <c r="I19" s="189">
        <f t="shared" ref="I19:I50" si="4">H19*E19</f>
        <v>0</v>
      </c>
      <c r="J19" s="16"/>
      <c r="K19" s="71">
        <f t="shared" ref="K19:K50" si="5">J19*E19</f>
        <v>0</v>
      </c>
      <c r="L19" s="71">
        <f t="shared" ref="L19:L50" si="6">K19+I19+G19</f>
        <v>0</v>
      </c>
    </row>
    <row r="20" spans="1:12" s="65" customFormat="1" ht="14.5" x14ac:dyDescent="0.35">
      <c r="A20" s="57">
        <v>2</v>
      </c>
      <c r="B20" s="91" t="s">
        <v>126</v>
      </c>
      <c r="C20" s="91"/>
      <c r="D20" s="111" t="s">
        <v>112</v>
      </c>
      <c r="E20" s="90">
        <v>9</v>
      </c>
      <c r="F20" s="192"/>
      <c r="G20" s="189">
        <f t="shared" si="0"/>
        <v>0</v>
      </c>
      <c r="H20" s="193"/>
      <c r="I20" s="189">
        <f t="shared" si="4"/>
        <v>0</v>
      </c>
      <c r="J20" s="28"/>
      <c r="K20" s="71">
        <f t="shared" si="5"/>
        <v>0</v>
      </c>
      <c r="L20" s="71">
        <f t="shared" si="6"/>
        <v>0</v>
      </c>
    </row>
    <row r="21" spans="1:12" s="65" customFormat="1" ht="83.5" customHeight="1" x14ac:dyDescent="0.3">
      <c r="A21" s="57"/>
      <c r="B21" s="72" t="s">
        <v>164</v>
      </c>
      <c r="C21" s="29"/>
      <c r="D21" s="55" t="s">
        <v>112</v>
      </c>
      <c r="E21" s="28">
        <v>4</v>
      </c>
      <c r="F21" s="193"/>
      <c r="G21" s="189">
        <f t="shared" si="0"/>
        <v>0</v>
      </c>
      <c r="H21" s="193"/>
      <c r="I21" s="189">
        <f t="shared" si="4"/>
        <v>0</v>
      </c>
      <c r="J21" s="28"/>
      <c r="K21" s="71">
        <f t="shared" si="5"/>
        <v>0</v>
      </c>
      <c r="L21" s="71">
        <f t="shared" si="6"/>
        <v>0</v>
      </c>
    </row>
    <row r="22" spans="1:12" s="65" customFormat="1" ht="13.5" x14ac:dyDescent="0.3">
      <c r="A22" s="57"/>
      <c r="B22" s="30" t="s">
        <v>127</v>
      </c>
      <c r="C22" s="30"/>
      <c r="D22" s="55" t="s">
        <v>112</v>
      </c>
      <c r="E22" s="28">
        <v>6</v>
      </c>
      <c r="F22" s="193"/>
      <c r="G22" s="189">
        <f t="shared" si="0"/>
        <v>0</v>
      </c>
      <c r="H22" s="193"/>
      <c r="I22" s="189">
        <f t="shared" si="4"/>
        <v>0</v>
      </c>
      <c r="J22" s="28"/>
      <c r="K22" s="71">
        <f t="shared" si="5"/>
        <v>0</v>
      </c>
      <c r="L22" s="71">
        <f t="shared" si="6"/>
        <v>0</v>
      </c>
    </row>
    <row r="23" spans="1:12" s="65" customFormat="1" ht="14.5" x14ac:dyDescent="0.35">
      <c r="A23" s="57">
        <v>3</v>
      </c>
      <c r="B23" s="85" t="s">
        <v>98</v>
      </c>
      <c r="C23" s="85"/>
      <c r="D23" s="111" t="s">
        <v>8</v>
      </c>
      <c r="E23" s="90">
        <v>0</v>
      </c>
      <c r="F23" s="192"/>
      <c r="G23" s="189">
        <f t="shared" si="0"/>
        <v>0</v>
      </c>
      <c r="H23" s="191"/>
      <c r="I23" s="189">
        <f t="shared" si="4"/>
        <v>0</v>
      </c>
      <c r="J23" s="16"/>
      <c r="K23" s="71">
        <f t="shared" si="5"/>
        <v>0</v>
      </c>
      <c r="L23" s="71">
        <f t="shared" si="6"/>
        <v>0</v>
      </c>
    </row>
    <row r="24" spans="1:12" s="65" customFormat="1" ht="33.75" customHeight="1" x14ac:dyDescent="0.3">
      <c r="A24" s="57"/>
      <c r="B24" s="130" t="s">
        <v>156</v>
      </c>
      <c r="C24" s="86"/>
      <c r="D24" s="52" t="s">
        <v>116</v>
      </c>
      <c r="E24" s="89">
        <v>350</v>
      </c>
      <c r="F24" s="194"/>
      <c r="G24" s="189">
        <f t="shared" si="0"/>
        <v>0</v>
      </c>
      <c r="H24" s="194"/>
      <c r="I24" s="189">
        <f t="shared" si="4"/>
        <v>0</v>
      </c>
      <c r="J24" s="89"/>
      <c r="K24" s="71">
        <f t="shared" si="5"/>
        <v>0</v>
      </c>
      <c r="L24" s="71">
        <f t="shared" si="6"/>
        <v>0</v>
      </c>
    </row>
    <row r="25" spans="1:12" s="65" customFormat="1" ht="32.25" customHeight="1" x14ac:dyDescent="0.3">
      <c r="A25" s="57"/>
      <c r="B25" s="126"/>
      <c r="C25" s="87"/>
      <c r="D25" s="109" t="s">
        <v>8</v>
      </c>
      <c r="E25" s="16">
        <v>0</v>
      </c>
      <c r="F25" s="191"/>
      <c r="G25" s="189">
        <f t="shared" si="0"/>
        <v>0</v>
      </c>
      <c r="H25" s="191"/>
      <c r="I25" s="189">
        <f t="shared" si="4"/>
        <v>0</v>
      </c>
      <c r="J25" s="16"/>
      <c r="K25" s="71">
        <f t="shared" si="5"/>
        <v>0</v>
      </c>
      <c r="L25" s="71">
        <f t="shared" si="6"/>
        <v>0</v>
      </c>
    </row>
    <row r="26" spans="1:12" s="65" customFormat="1" ht="13.5" x14ac:dyDescent="0.3">
      <c r="A26" s="57"/>
      <c r="B26" s="87" t="s">
        <v>168</v>
      </c>
      <c r="C26" s="93"/>
      <c r="D26" s="55" t="s">
        <v>10</v>
      </c>
      <c r="E26" s="28">
        <v>30</v>
      </c>
      <c r="F26" s="193"/>
      <c r="G26" s="189">
        <f t="shared" si="0"/>
        <v>0</v>
      </c>
      <c r="H26" s="195"/>
      <c r="I26" s="189">
        <f t="shared" si="4"/>
        <v>0</v>
      </c>
      <c r="J26" s="28"/>
      <c r="K26" s="71">
        <f t="shared" si="5"/>
        <v>0</v>
      </c>
      <c r="L26" s="71">
        <f t="shared" si="6"/>
        <v>0</v>
      </c>
    </row>
    <row r="27" spans="1:12" s="65" customFormat="1" ht="13.5" x14ac:dyDescent="0.35">
      <c r="A27" s="57">
        <v>4</v>
      </c>
      <c r="B27" s="94" t="s">
        <v>104</v>
      </c>
      <c r="C27" s="94"/>
      <c r="D27" s="111" t="s">
        <v>8</v>
      </c>
      <c r="E27" s="95">
        <v>45</v>
      </c>
      <c r="F27" s="196"/>
      <c r="G27" s="189">
        <f t="shared" si="0"/>
        <v>0</v>
      </c>
      <c r="H27" s="196"/>
      <c r="I27" s="189">
        <f t="shared" si="4"/>
        <v>0</v>
      </c>
      <c r="J27" s="6"/>
      <c r="K27" s="71">
        <f t="shared" si="5"/>
        <v>0</v>
      </c>
      <c r="L27" s="71">
        <f t="shared" si="6"/>
        <v>0</v>
      </c>
    </row>
    <row r="28" spans="1:12" s="65" customFormat="1" ht="13.5" x14ac:dyDescent="0.35">
      <c r="A28" s="57"/>
      <c r="B28" s="63" t="s">
        <v>99</v>
      </c>
      <c r="C28" s="63"/>
      <c r="D28" s="109" t="s">
        <v>8</v>
      </c>
      <c r="E28" s="6">
        <f>E27*2.05</f>
        <v>92.249999999999986</v>
      </c>
      <c r="F28" s="196"/>
      <c r="G28" s="189">
        <f t="shared" si="0"/>
        <v>0</v>
      </c>
      <c r="H28" s="196"/>
      <c r="I28" s="189">
        <f t="shared" si="4"/>
        <v>0</v>
      </c>
      <c r="J28" s="6"/>
      <c r="K28" s="71">
        <f t="shared" si="5"/>
        <v>0</v>
      </c>
      <c r="L28" s="71">
        <f t="shared" si="6"/>
        <v>0</v>
      </c>
    </row>
    <row r="29" spans="1:12" s="65" customFormat="1" ht="60" customHeight="1" x14ac:dyDescent="0.3">
      <c r="A29" s="57"/>
      <c r="B29" s="9" t="s">
        <v>102</v>
      </c>
      <c r="C29" s="9"/>
      <c r="D29" s="55" t="s">
        <v>8</v>
      </c>
      <c r="E29" s="6">
        <f>E27</f>
        <v>45</v>
      </c>
      <c r="F29" s="196"/>
      <c r="G29" s="189">
        <f t="shared" si="0"/>
        <v>0</v>
      </c>
      <c r="H29" s="196"/>
      <c r="I29" s="189">
        <f t="shared" si="4"/>
        <v>0</v>
      </c>
      <c r="J29" s="6"/>
      <c r="K29" s="71">
        <f t="shared" si="5"/>
        <v>0</v>
      </c>
      <c r="L29" s="71">
        <f t="shared" si="6"/>
        <v>0</v>
      </c>
    </row>
    <row r="30" spans="1:12" s="65" customFormat="1" ht="37.5" customHeight="1" x14ac:dyDescent="0.35">
      <c r="A30" s="57"/>
      <c r="B30" s="72" t="s">
        <v>81</v>
      </c>
      <c r="C30" s="21"/>
      <c r="D30" s="55" t="s">
        <v>8</v>
      </c>
      <c r="E30" s="6">
        <f>E27</f>
        <v>45</v>
      </c>
      <c r="F30" s="196"/>
      <c r="G30" s="189">
        <f t="shared" si="0"/>
        <v>0</v>
      </c>
      <c r="H30" s="196"/>
      <c r="I30" s="189">
        <f t="shared" si="4"/>
        <v>0</v>
      </c>
      <c r="J30" s="6"/>
      <c r="K30" s="71">
        <f t="shared" si="5"/>
        <v>0</v>
      </c>
      <c r="L30" s="71">
        <f t="shared" si="6"/>
        <v>0</v>
      </c>
    </row>
    <row r="31" spans="1:12" s="65" customFormat="1" ht="15.65" customHeight="1" x14ac:dyDescent="0.3">
      <c r="A31" s="57">
        <v>5</v>
      </c>
      <c r="B31" s="91" t="s">
        <v>100</v>
      </c>
      <c r="C31" s="91"/>
      <c r="D31" s="111" t="s">
        <v>8</v>
      </c>
      <c r="E31" s="95">
        <v>154</v>
      </c>
      <c r="F31" s="193"/>
      <c r="G31" s="189">
        <f t="shared" si="0"/>
        <v>0</v>
      </c>
      <c r="H31" s="196"/>
      <c r="I31" s="189">
        <f t="shared" si="4"/>
        <v>0</v>
      </c>
      <c r="J31" s="6"/>
      <c r="K31" s="71">
        <f t="shared" si="5"/>
        <v>0</v>
      </c>
      <c r="L31" s="71">
        <f t="shared" si="6"/>
        <v>0</v>
      </c>
    </row>
    <row r="32" spans="1:12" s="65" customFormat="1" ht="13.5" x14ac:dyDescent="0.35">
      <c r="A32" s="57"/>
      <c r="B32" s="63" t="s">
        <v>119</v>
      </c>
      <c r="C32" s="63"/>
      <c r="D32" s="109" t="s">
        <v>8</v>
      </c>
      <c r="E32" s="6">
        <f>E31*1.05</f>
        <v>161.70000000000002</v>
      </c>
      <c r="F32" s="196"/>
      <c r="G32" s="189">
        <f t="shared" si="0"/>
        <v>0</v>
      </c>
      <c r="H32" s="196"/>
      <c r="I32" s="189">
        <f t="shared" si="4"/>
        <v>0</v>
      </c>
      <c r="J32" s="6"/>
      <c r="K32" s="71">
        <f t="shared" si="5"/>
        <v>0</v>
      </c>
      <c r="L32" s="71">
        <f t="shared" si="6"/>
        <v>0</v>
      </c>
    </row>
    <row r="33" spans="1:12" s="65" customFormat="1" ht="75.75" customHeight="1" x14ac:dyDescent="0.3">
      <c r="A33" s="57"/>
      <c r="B33" s="9" t="s">
        <v>101</v>
      </c>
      <c r="C33" s="9"/>
      <c r="D33" s="55" t="s">
        <v>8</v>
      </c>
      <c r="E33" s="6">
        <f>E31</f>
        <v>154</v>
      </c>
      <c r="F33" s="196"/>
      <c r="G33" s="189">
        <f t="shared" si="0"/>
        <v>0</v>
      </c>
      <c r="H33" s="196"/>
      <c r="I33" s="189">
        <f t="shared" si="4"/>
        <v>0</v>
      </c>
      <c r="J33" s="6"/>
      <c r="K33" s="71">
        <f t="shared" si="5"/>
        <v>0</v>
      </c>
      <c r="L33" s="71">
        <f t="shared" si="6"/>
        <v>0</v>
      </c>
    </row>
    <row r="34" spans="1:12" s="65" customFormat="1" ht="13.5" x14ac:dyDescent="0.35">
      <c r="A34" s="57"/>
      <c r="B34" s="21" t="s">
        <v>11</v>
      </c>
      <c r="C34" s="21"/>
      <c r="D34" s="55" t="s">
        <v>12</v>
      </c>
      <c r="E34" s="6">
        <f>E31*0.02</f>
        <v>3.08</v>
      </c>
      <c r="F34" s="196"/>
      <c r="G34" s="189">
        <f t="shared" si="0"/>
        <v>0</v>
      </c>
      <c r="H34" s="196"/>
      <c r="I34" s="189">
        <f t="shared" si="4"/>
        <v>0</v>
      </c>
      <c r="J34" s="6"/>
      <c r="K34" s="71">
        <f t="shared" si="5"/>
        <v>0</v>
      </c>
      <c r="L34" s="71">
        <f t="shared" si="6"/>
        <v>0</v>
      </c>
    </row>
    <row r="35" spans="1:12" s="65" customFormat="1" ht="18" customHeight="1" x14ac:dyDescent="0.3">
      <c r="A35" s="57">
        <v>6</v>
      </c>
      <c r="B35" s="27" t="s">
        <v>128</v>
      </c>
      <c r="C35" s="27"/>
      <c r="D35" s="55" t="s">
        <v>129</v>
      </c>
      <c r="E35" s="28">
        <v>16</v>
      </c>
      <c r="F35" s="193"/>
      <c r="G35" s="189">
        <f t="shared" si="0"/>
        <v>0</v>
      </c>
      <c r="H35" s="193"/>
      <c r="I35" s="189">
        <f t="shared" si="4"/>
        <v>0</v>
      </c>
      <c r="J35" s="28"/>
      <c r="K35" s="71">
        <f t="shared" si="5"/>
        <v>0</v>
      </c>
      <c r="L35" s="71">
        <f t="shared" si="6"/>
        <v>0</v>
      </c>
    </row>
    <row r="36" spans="1:12" s="65" customFormat="1" ht="13.5" x14ac:dyDescent="0.35">
      <c r="A36" s="57"/>
      <c r="B36" s="63" t="s">
        <v>130</v>
      </c>
      <c r="C36" s="63"/>
      <c r="D36" s="55" t="s">
        <v>116</v>
      </c>
      <c r="E36" s="28">
        <v>120</v>
      </c>
      <c r="F36" s="193"/>
      <c r="G36" s="189">
        <f t="shared" si="0"/>
        <v>0</v>
      </c>
      <c r="H36" s="193"/>
      <c r="I36" s="189">
        <f t="shared" si="4"/>
        <v>0</v>
      </c>
      <c r="J36" s="28"/>
      <c r="K36" s="71">
        <f t="shared" si="5"/>
        <v>0</v>
      </c>
      <c r="L36" s="71">
        <f t="shared" si="6"/>
        <v>0</v>
      </c>
    </row>
    <row r="37" spans="1:12" s="65" customFormat="1" ht="47.25" customHeight="1" x14ac:dyDescent="0.3">
      <c r="A37" s="57"/>
      <c r="B37" s="29" t="s">
        <v>131</v>
      </c>
      <c r="C37" s="29"/>
      <c r="D37" s="55" t="s">
        <v>112</v>
      </c>
      <c r="E37" s="28">
        <v>30</v>
      </c>
      <c r="F37" s="193"/>
      <c r="G37" s="189">
        <f t="shared" si="0"/>
        <v>0</v>
      </c>
      <c r="H37" s="193"/>
      <c r="I37" s="189">
        <f t="shared" si="4"/>
        <v>0</v>
      </c>
      <c r="J37" s="28"/>
      <c r="K37" s="71">
        <f t="shared" si="5"/>
        <v>0</v>
      </c>
      <c r="L37" s="71">
        <f t="shared" si="6"/>
        <v>0</v>
      </c>
    </row>
    <row r="38" spans="1:12" s="65" customFormat="1" ht="13.5" x14ac:dyDescent="0.3">
      <c r="A38" s="57"/>
      <c r="B38" s="29" t="s">
        <v>132</v>
      </c>
      <c r="C38" s="29"/>
      <c r="D38" s="55" t="s">
        <v>116</v>
      </c>
      <c r="E38" s="28">
        <v>36</v>
      </c>
      <c r="F38" s="193"/>
      <c r="G38" s="189">
        <f t="shared" si="0"/>
        <v>0</v>
      </c>
      <c r="H38" s="193"/>
      <c r="I38" s="189">
        <f t="shared" si="4"/>
        <v>0</v>
      </c>
      <c r="J38" s="28"/>
      <c r="K38" s="71">
        <f t="shared" si="5"/>
        <v>0</v>
      </c>
      <c r="L38" s="71">
        <f t="shared" si="6"/>
        <v>0</v>
      </c>
    </row>
    <row r="39" spans="1:12" s="65" customFormat="1" ht="13.5" x14ac:dyDescent="0.3">
      <c r="A39" s="57"/>
      <c r="B39" s="29" t="s">
        <v>133</v>
      </c>
      <c r="C39" s="29"/>
      <c r="D39" s="55" t="s">
        <v>116</v>
      </c>
      <c r="E39" s="28">
        <v>15</v>
      </c>
      <c r="F39" s="193"/>
      <c r="G39" s="189">
        <f t="shared" si="0"/>
        <v>0</v>
      </c>
      <c r="H39" s="193"/>
      <c r="I39" s="189">
        <f t="shared" si="4"/>
        <v>0</v>
      </c>
      <c r="J39" s="28"/>
      <c r="K39" s="71">
        <f t="shared" si="5"/>
        <v>0</v>
      </c>
      <c r="L39" s="71">
        <f t="shared" si="6"/>
        <v>0</v>
      </c>
    </row>
    <row r="40" spans="1:12" s="65" customFormat="1" ht="13.5" x14ac:dyDescent="0.35">
      <c r="A40" s="57"/>
      <c r="B40" s="21" t="s">
        <v>134</v>
      </c>
      <c r="C40" s="21"/>
      <c r="D40" s="55" t="s">
        <v>112</v>
      </c>
      <c r="E40" s="28">
        <v>45</v>
      </c>
      <c r="F40" s="193"/>
      <c r="G40" s="189">
        <f t="shared" si="0"/>
        <v>0</v>
      </c>
      <c r="H40" s="193"/>
      <c r="I40" s="189">
        <f t="shared" si="4"/>
        <v>0</v>
      </c>
      <c r="J40" s="28"/>
      <c r="K40" s="71">
        <f t="shared" si="5"/>
        <v>0</v>
      </c>
      <c r="L40" s="71">
        <f t="shared" si="6"/>
        <v>0</v>
      </c>
    </row>
    <row r="41" spans="1:12" s="65" customFormat="1" ht="15.65" customHeight="1" x14ac:dyDescent="0.3">
      <c r="A41" s="57">
        <v>7</v>
      </c>
      <c r="B41" s="19" t="s">
        <v>103</v>
      </c>
      <c r="C41" s="19"/>
      <c r="D41" s="57" t="s">
        <v>8</v>
      </c>
      <c r="E41" s="71">
        <v>682</v>
      </c>
      <c r="F41" s="189"/>
      <c r="G41" s="189">
        <f t="shared" si="0"/>
        <v>0</v>
      </c>
      <c r="H41" s="189"/>
      <c r="I41" s="189">
        <f t="shared" si="4"/>
        <v>0</v>
      </c>
      <c r="J41" s="71"/>
      <c r="K41" s="71">
        <f t="shared" si="5"/>
        <v>0</v>
      </c>
      <c r="L41" s="71">
        <f t="shared" si="6"/>
        <v>0</v>
      </c>
    </row>
    <row r="42" spans="1:12" s="65" customFormat="1" ht="13.5" x14ac:dyDescent="0.35">
      <c r="A42" s="57"/>
      <c r="B42" s="69" t="s">
        <v>29</v>
      </c>
      <c r="C42" s="69"/>
      <c r="D42" s="52" t="s">
        <v>13</v>
      </c>
      <c r="E42" s="71">
        <f>E41*0.9</f>
        <v>613.80000000000007</v>
      </c>
      <c r="F42" s="189"/>
      <c r="G42" s="189">
        <f t="shared" si="0"/>
        <v>0</v>
      </c>
      <c r="H42" s="189"/>
      <c r="I42" s="189">
        <f t="shared" si="4"/>
        <v>0</v>
      </c>
      <c r="J42" s="71"/>
      <c r="K42" s="71">
        <f t="shared" si="5"/>
        <v>0</v>
      </c>
      <c r="L42" s="71">
        <f t="shared" si="6"/>
        <v>0</v>
      </c>
    </row>
    <row r="43" spans="1:12" s="65" customFormat="1" ht="93.65" customHeight="1" x14ac:dyDescent="0.35">
      <c r="A43" s="57"/>
      <c r="B43" s="115" t="s">
        <v>204</v>
      </c>
      <c r="C43" s="69"/>
      <c r="D43" s="52" t="s">
        <v>13</v>
      </c>
      <c r="E43" s="71">
        <f>E41*0.4</f>
        <v>272.8</v>
      </c>
      <c r="F43" s="189"/>
      <c r="G43" s="189">
        <f t="shared" si="0"/>
        <v>0</v>
      </c>
      <c r="H43" s="189"/>
      <c r="I43" s="189">
        <f t="shared" si="4"/>
        <v>0</v>
      </c>
      <c r="J43" s="71"/>
      <c r="K43" s="71">
        <f t="shared" si="5"/>
        <v>0</v>
      </c>
      <c r="L43" s="71">
        <f t="shared" si="6"/>
        <v>0</v>
      </c>
    </row>
    <row r="44" spans="1:12" s="65" customFormat="1" ht="13.5" x14ac:dyDescent="0.3">
      <c r="A44" s="57"/>
      <c r="B44" s="20" t="s">
        <v>89</v>
      </c>
      <c r="C44" s="20"/>
      <c r="D44" s="52" t="s">
        <v>13</v>
      </c>
      <c r="E44" s="71">
        <f>E41*0.2</f>
        <v>136.4</v>
      </c>
      <c r="F44" s="189"/>
      <c r="G44" s="189">
        <f t="shared" si="0"/>
        <v>0</v>
      </c>
      <c r="H44" s="189"/>
      <c r="I44" s="189">
        <f t="shared" si="4"/>
        <v>0</v>
      </c>
      <c r="J44" s="71"/>
      <c r="K44" s="71">
        <f t="shared" si="5"/>
        <v>0</v>
      </c>
      <c r="L44" s="71">
        <f t="shared" si="6"/>
        <v>0</v>
      </c>
    </row>
    <row r="45" spans="1:12" s="65" customFormat="1" ht="13.5" x14ac:dyDescent="0.35">
      <c r="A45" s="57"/>
      <c r="B45" s="69" t="s">
        <v>88</v>
      </c>
      <c r="C45" s="69"/>
      <c r="D45" s="52" t="s">
        <v>8</v>
      </c>
      <c r="E45" s="71">
        <f>0.009*E41</f>
        <v>6.1379999999999999</v>
      </c>
      <c r="F45" s="189"/>
      <c r="G45" s="189">
        <f t="shared" si="0"/>
        <v>0</v>
      </c>
      <c r="H45" s="189"/>
      <c r="I45" s="189">
        <f t="shared" si="4"/>
        <v>0</v>
      </c>
      <c r="J45" s="71"/>
      <c r="K45" s="71">
        <f t="shared" si="5"/>
        <v>0</v>
      </c>
      <c r="L45" s="71">
        <f t="shared" si="6"/>
        <v>0</v>
      </c>
    </row>
    <row r="46" spans="1:12" s="65" customFormat="1" ht="13.5" x14ac:dyDescent="0.35">
      <c r="A46" s="57"/>
      <c r="B46" s="69" t="s">
        <v>37</v>
      </c>
      <c r="C46" s="69"/>
      <c r="D46" s="52" t="s">
        <v>10</v>
      </c>
      <c r="E46" s="71">
        <v>1700</v>
      </c>
      <c r="F46" s="189"/>
      <c r="G46" s="189">
        <f t="shared" si="0"/>
        <v>0</v>
      </c>
      <c r="H46" s="189"/>
      <c r="I46" s="189">
        <f t="shared" si="4"/>
        <v>0</v>
      </c>
      <c r="J46" s="71"/>
      <c r="K46" s="71">
        <f t="shared" si="5"/>
        <v>0</v>
      </c>
      <c r="L46" s="71">
        <f t="shared" si="6"/>
        <v>0</v>
      </c>
    </row>
    <row r="47" spans="1:12" s="65" customFormat="1" ht="13.5" x14ac:dyDescent="0.35">
      <c r="A47" s="57"/>
      <c r="B47" s="69" t="s">
        <v>36</v>
      </c>
      <c r="C47" s="69"/>
      <c r="D47" s="52" t="s">
        <v>10</v>
      </c>
      <c r="E47" s="71">
        <v>550</v>
      </c>
      <c r="F47" s="189"/>
      <c r="G47" s="189">
        <f t="shared" si="0"/>
        <v>0</v>
      </c>
      <c r="H47" s="189"/>
      <c r="I47" s="189">
        <f t="shared" si="4"/>
        <v>0</v>
      </c>
      <c r="J47" s="71"/>
      <c r="K47" s="71">
        <f t="shared" si="5"/>
        <v>0</v>
      </c>
      <c r="L47" s="71">
        <f t="shared" si="6"/>
        <v>0</v>
      </c>
    </row>
    <row r="48" spans="1:12" s="65" customFormat="1" ht="13.5" x14ac:dyDescent="0.35">
      <c r="A48" s="57"/>
      <c r="B48" s="69" t="s">
        <v>11</v>
      </c>
      <c r="C48" s="69"/>
      <c r="D48" s="52" t="s">
        <v>12</v>
      </c>
      <c r="E48" s="71">
        <f>E41*0.003</f>
        <v>2.0460000000000003</v>
      </c>
      <c r="F48" s="189"/>
      <c r="G48" s="189">
        <f t="shared" si="0"/>
        <v>0</v>
      </c>
      <c r="H48" s="189"/>
      <c r="I48" s="189">
        <f t="shared" si="4"/>
        <v>0</v>
      </c>
      <c r="J48" s="71"/>
      <c r="K48" s="71">
        <f t="shared" si="5"/>
        <v>0</v>
      </c>
      <c r="L48" s="71">
        <f t="shared" si="6"/>
        <v>0</v>
      </c>
    </row>
    <row r="49" spans="1:13" s="65" customFormat="1" ht="13.5" x14ac:dyDescent="0.35">
      <c r="A49" s="57">
        <v>8</v>
      </c>
      <c r="B49" s="100" t="s">
        <v>135</v>
      </c>
      <c r="C49" s="100"/>
      <c r="D49" s="52" t="s">
        <v>8</v>
      </c>
      <c r="E49" s="71">
        <v>385</v>
      </c>
      <c r="F49" s="189"/>
      <c r="G49" s="189">
        <f t="shared" si="0"/>
        <v>0</v>
      </c>
      <c r="H49" s="189"/>
      <c r="I49" s="189">
        <f t="shared" si="4"/>
        <v>0</v>
      </c>
      <c r="J49" s="71"/>
      <c r="K49" s="71">
        <f t="shared" si="5"/>
        <v>0</v>
      </c>
      <c r="L49" s="71">
        <f t="shared" si="6"/>
        <v>0</v>
      </c>
    </row>
    <row r="50" spans="1:13" s="65" customFormat="1" ht="13.5" x14ac:dyDescent="0.35">
      <c r="A50" s="57"/>
      <c r="B50" s="99" t="s">
        <v>136</v>
      </c>
      <c r="C50" s="99"/>
      <c r="D50" s="52" t="s">
        <v>8</v>
      </c>
      <c r="E50" s="71">
        <f>E49*1.05</f>
        <v>404.25</v>
      </c>
      <c r="F50" s="189"/>
      <c r="G50" s="189">
        <f t="shared" si="0"/>
        <v>0</v>
      </c>
      <c r="H50" s="189"/>
      <c r="I50" s="189">
        <f t="shared" si="4"/>
        <v>0</v>
      </c>
      <c r="J50" s="71"/>
      <c r="K50" s="71">
        <f t="shared" si="5"/>
        <v>0</v>
      </c>
      <c r="L50" s="71">
        <f t="shared" si="6"/>
        <v>0</v>
      </c>
    </row>
    <row r="51" spans="1:13" s="65" customFormat="1" ht="13.5" x14ac:dyDescent="0.35">
      <c r="A51" s="57"/>
      <c r="B51" s="99" t="s">
        <v>137</v>
      </c>
      <c r="C51" s="99"/>
      <c r="D51" s="52" t="s">
        <v>13</v>
      </c>
      <c r="E51" s="71">
        <f>E49*5.5</f>
        <v>2117.5</v>
      </c>
      <c r="F51" s="189"/>
      <c r="G51" s="189">
        <f t="shared" si="0"/>
        <v>0</v>
      </c>
      <c r="H51" s="189"/>
      <c r="I51" s="189">
        <f t="shared" ref="I51:I72" si="7">H51*E51</f>
        <v>0</v>
      </c>
      <c r="J51" s="71"/>
      <c r="K51" s="71">
        <f t="shared" ref="K51:K72" si="8">J51*E51</f>
        <v>0</v>
      </c>
      <c r="L51" s="71">
        <f t="shared" ref="L51:L72" si="9">K51+I51+G51</f>
        <v>0</v>
      </c>
    </row>
    <row r="52" spans="1:13" s="65" customFormat="1" ht="13.5" x14ac:dyDescent="0.35">
      <c r="A52" s="57"/>
      <c r="B52" s="99" t="s">
        <v>138</v>
      </c>
      <c r="C52" s="99"/>
      <c r="D52" s="52" t="s">
        <v>9</v>
      </c>
      <c r="E52" s="71">
        <f>E49*0.8</f>
        <v>308</v>
      </c>
      <c r="F52" s="189"/>
      <c r="G52" s="189">
        <f t="shared" si="0"/>
        <v>0</v>
      </c>
      <c r="H52" s="189"/>
      <c r="I52" s="189">
        <f t="shared" si="7"/>
        <v>0</v>
      </c>
      <c r="J52" s="71"/>
      <c r="K52" s="71">
        <f t="shared" si="8"/>
        <v>0</v>
      </c>
      <c r="L52" s="71">
        <f t="shared" si="9"/>
        <v>0</v>
      </c>
    </row>
    <row r="53" spans="1:13" s="65" customFormat="1" ht="13.5" x14ac:dyDescent="0.35">
      <c r="A53" s="57"/>
      <c r="B53" s="69" t="s">
        <v>11</v>
      </c>
      <c r="C53" s="69"/>
      <c r="D53" s="52" t="s">
        <v>12</v>
      </c>
      <c r="E53" s="71">
        <f>E49*0.1</f>
        <v>38.5</v>
      </c>
      <c r="F53" s="189"/>
      <c r="G53" s="189">
        <f t="shared" si="0"/>
        <v>0</v>
      </c>
      <c r="H53" s="189"/>
      <c r="I53" s="189">
        <f t="shared" si="7"/>
        <v>0</v>
      </c>
      <c r="J53" s="71"/>
      <c r="K53" s="71">
        <f t="shared" si="8"/>
        <v>0</v>
      </c>
      <c r="L53" s="71">
        <f t="shared" si="9"/>
        <v>0</v>
      </c>
    </row>
    <row r="54" spans="1:13" s="65" customFormat="1" ht="42" customHeight="1" x14ac:dyDescent="0.3">
      <c r="A54" s="57">
        <v>9</v>
      </c>
      <c r="B54" s="127" t="s">
        <v>167</v>
      </c>
      <c r="C54" s="105"/>
      <c r="D54" s="55" t="s">
        <v>9</v>
      </c>
      <c r="E54" s="28">
        <v>5</v>
      </c>
      <c r="F54" s="193"/>
      <c r="G54" s="189">
        <f t="shared" si="0"/>
        <v>0</v>
      </c>
      <c r="H54" s="193"/>
      <c r="I54" s="189">
        <f t="shared" si="7"/>
        <v>0</v>
      </c>
      <c r="J54" s="28"/>
      <c r="K54" s="71">
        <f t="shared" si="8"/>
        <v>0</v>
      </c>
      <c r="L54" s="71">
        <f t="shared" si="9"/>
        <v>0</v>
      </c>
      <c r="M54" s="120"/>
    </row>
    <row r="55" spans="1:13" s="65" customFormat="1" ht="56.25" customHeight="1" x14ac:dyDescent="0.3">
      <c r="A55" s="57">
        <v>10</v>
      </c>
      <c r="B55" s="122" t="s">
        <v>139</v>
      </c>
      <c r="C55" s="122"/>
      <c r="D55" s="55" t="s">
        <v>140</v>
      </c>
      <c r="E55" s="28">
        <v>38</v>
      </c>
      <c r="F55" s="193"/>
      <c r="G55" s="189">
        <f t="shared" si="0"/>
        <v>0</v>
      </c>
      <c r="H55" s="193"/>
      <c r="I55" s="189">
        <f t="shared" si="7"/>
        <v>0</v>
      </c>
      <c r="J55" s="28"/>
      <c r="K55" s="71">
        <f t="shared" si="8"/>
        <v>0</v>
      </c>
      <c r="L55" s="71">
        <f t="shared" si="9"/>
        <v>0</v>
      </c>
      <c r="M55" s="121"/>
    </row>
    <row r="56" spans="1:13" s="65" customFormat="1" ht="45" customHeight="1" x14ac:dyDescent="0.3">
      <c r="A56" s="57">
        <v>11</v>
      </c>
      <c r="B56" s="77" t="s">
        <v>105</v>
      </c>
      <c r="C56" s="77"/>
      <c r="D56" s="55" t="s">
        <v>112</v>
      </c>
      <c r="E56" s="28">
        <v>25</v>
      </c>
      <c r="F56" s="193"/>
      <c r="G56" s="189">
        <f t="shared" si="0"/>
        <v>0</v>
      </c>
      <c r="H56" s="193"/>
      <c r="I56" s="189">
        <f t="shared" si="7"/>
        <v>0</v>
      </c>
      <c r="J56" s="28"/>
      <c r="K56" s="71">
        <f t="shared" si="8"/>
        <v>0</v>
      </c>
      <c r="L56" s="71">
        <f t="shared" si="9"/>
        <v>0</v>
      </c>
    </row>
    <row r="57" spans="1:13" s="65" customFormat="1" ht="13.5" x14ac:dyDescent="0.3">
      <c r="A57" s="57">
        <v>12</v>
      </c>
      <c r="B57" s="77" t="s">
        <v>106</v>
      </c>
      <c r="C57" s="27"/>
      <c r="D57" s="55" t="s">
        <v>9</v>
      </c>
      <c r="E57" s="28">
        <v>30</v>
      </c>
      <c r="F57" s="193"/>
      <c r="G57" s="189">
        <f t="shared" si="0"/>
        <v>0</v>
      </c>
      <c r="H57" s="193"/>
      <c r="I57" s="189">
        <f t="shared" si="7"/>
        <v>0</v>
      </c>
      <c r="J57" s="28"/>
      <c r="K57" s="71">
        <f t="shared" si="8"/>
        <v>0</v>
      </c>
      <c r="L57" s="71">
        <f t="shared" si="9"/>
        <v>0</v>
      </c>
    </row>
    <row r="58" spans="1:13" s="65" customFormat="1" ht="40.5" x14ac:dyDescent="0.3">
      <c r="A58" s="57">
        <v>13</v>
      </c>
      <c r="B58" s="103" t="s">
        <v>107</v>
      </c>
      <c r="C58" s="125"/>
      <c r="D58" s="110" t="s">
        <v>108</v>
      </c>
      <c r="E58" s="89">
        <v>100</v>
      </c>
      <c r="F58" s="194"/>
      <c r="G58" s="189">
        <f t="shared" si="0"/>
        <v>0</v>
      </c>
      <c r="H58" s="194"/>
      <c r="I58" s="189">
        <f t="shared" si="7"/>
        <v>0</v>
      </c>
      <c r="J58" s="89"/>
      <c r="K58" s="71">
        <f t="shared" si="8"/>
        <v>0</v>
      </c>
      <c r="L58" s="71">
        <f t="shared" si="9"/>
        <v>0</v>
      </c>
    </row>
    <row r="59" spans="1:13" s="65" customFormat="1" ht="13.5" x14ac:dyDescent="0.3">
      <c r="A59" s="57">
        <v>14</v>
      </c>
      <c r="B59" s="103" t="s">
        <v>109</v>
      </c>
      <c r="C59" s="125"/>
      <c r="D59" s="110" t="s">
        <v>110</v>
      </c>
      <c r="E59" s="89">
        <v>150</v>
      </c>
      <c r="F59" s="194"/>
      <c r="G59" s="189">
        <f t="shared" si="0"/>
        <v>0</v>
      </c>
      <c r="H59" s="194"/>
      <c r="I59" s="189">
        <f t="shared" si="7"/>
        <v>0</v>
      </c>
      <c r="J59" s="89"/>
      <c r="K59" s="71">
        <f t="shared" si="8"/>
        <v>0</v>
      </c>
      <c r="L59" s="71">
        <f t="shared" si="9"/>
        <v>0</v>
      </c>
    </row>
    <row r="60" spans="1:13" s="65" customFormat="1" ht="13.5" x14ac:dyDescent="0.3">
      <c r="A60" s="57">
        <v>15</v>
      </c>
      <c r="B60" s="103" t="s">
        <v>111</v>
      </c>
      <c r="C60" s="103"/>
      <c r="D60" s="109" t="s">
        <v>112</v>
      </c>
      <c r="E60" s="89">
        <v>30</v>
      </c>
      <c r="F60" s="194"/>
      <c r="G60" s="189">
        <f t="shared" si="0"/>
        <v>0</v>
      </c>
      <c r="H60" s="194"/>
      <c r="I60" s="189">
        <f t="shared" si="7"/>
        <v>0</v>
      </c>
      <c r="J60" s="89"/>
      <c r="K60" s="71">
        <f t="shared" si="8"/>
        <v>0</v>
      </c>
      <c r="L60" s="71">
        <f t="shared" si="9"/>
        <v>0</v>
      </c>
    </row>
    <row r="61" spans="1:13" s="65" customFormat="1" ht="13.5" x14ac:dyDescent="0.3">
      <c r="A61" s="57">
        <v>16</v>
      </c>
      <c r="B61" s="103" t="s">
        <v>141</v>
      </c>
      <c r="C61" s="125"/>
      <c r="D61" s="110" t="s">
        <v>108</v>
      </c>
      <c r="E61" s="89">
        <v>250</v>
      </c>
      <c r="F61" s="194"/>
      <c r="G61" s="189">
        <f t="shared" si="0"/>
        <v>0</v>
      </c>
      <c r="H61" s="194"/>
      <c r="I61" s="189">
        <f t="shared" si="7"/>
        <v>0</v>
      </c>
      <c r="J61" s="89"/>
      <c r="K61" s="71">
        <f t="shared" si="8"/>
        <v>0</v>
      </c>
      <c r="L61" s="71">
        <f t="shared" si="9"/>
        <v>0</v>
      </c>
    </row>
    <row r="62" spans="1:13" s="65" customFormat="1" ht="13.5" x14ac:dyDescent="0.3">
      <c r="A62" s="57"/>
      <c r="B62" s="101" t="s">
        <v>11</v>
      </c>
      <c r="C62" s="101"/>
      <c r="D62" s="109" t="s">
        <v>12</v>
      </c>
      <c r="E62" s="89">
        <f>SUM(E52:E61)*0.1</f>
        <v>97.45</v>
      </c>
      <c r="F62" s="194"/>
      <c r="G62" s="189">
        <f t="shared" si="0"/>
        <v>0</v>
      </c>
      <c r="H62" s="194"/>
      <c r="I62" s="189">
        <f t="shared" si="7"/>
        <v>0</v>
      </c>
      <c r="J62" s="89"/>
      <c r="K62" s="71">
        <f t="shared" si="8"/>
        <v>0</v>
      </c>
      <c r="L62" s="71">
        <f t="shared" si="9"/>
        <v>0</v>
      </c>
    </row>
    <row r="63" spans="1:13" s="65" customFormat="1" ht="103.9" customHeight="1" x14ac:dyDescent="0.3">
      <c r="A63" s="57">
        <v>17</v>
      </c>
      <c r="B63" s="104" t="s">
        <v>142</v>
      </c>
      <c r="C63" s="104"/>
      <c r="D63" s="111" t="s">
        <v>9</v>
      </c>
      <c r="E63" s="90">
        <v>4</v>
      </c>
      <c r="F63" s="191"/>
      <c r="G63" s="189">
        <f t="shared" si="0"/>
        <v>0</v>
      </c>
      <c r="H63" s="191"/>
      <c r="I63" s="189">
        <f t="shared" si="7"/>
        <v>0</v>
      </c>
      <c r="J63" s="102"/>
      <c r="K63" s="71">
        <f t="shared" si="8"/>
        <v>0</v>
      </c>
      <c r="L63" s="71">
        <f t="shared" si="9"/>
        <v>0</v>
      </c>
    </row>
    <row r="64" spans="1:13" s="65" customFormat="1" ht="94.9" customHeight="1" x14ac:dyDescent="0.3">
      <c r="A64" s="57">
        <v>18</v>
      </c>
      <c r="B64" s="104" t="s">
        <v>143</v>
      </c>
      <c r="C64" s="104"/>
      <c r="D64" s="111" t="s">
        <v>9</v>
      </c>
      <c r="E64" s="90">
        <v>4</v>
      </c>
      <c r="F64" s="191"/>
      <c r="G64" s="189">
        <f t="shared" si="0"/>
        <v>0</v>
      </c>
      <c r="H64" s="191"/>
      <c r="I64" s="189">
        <f t="shared" si="7"/>
        <v>0</v>
      </c>
      <c r="J64" s="102"/>
      <c r="K64" s="71">
        <f t="shared" si="8"/>
        <v>0</v>
      </c>
      <c r="L64" s="71">
        <f t="shared" si="9"/>
        <v>0</v>
      </c>
    </row>
    <row r="65" spans="1:12" s="65" customFormat="1" ht="13.5" x14ac:dyDescent="0.3">
      <c r="A65" s="57">
        <v>19</v>
      </c>
      <c r="B65" s="104" t="s">
        <v>144</v>
      </c>
      <c r="C65" s="112"/>
      <c r="D65" s="113" t="s">
        <v>9</v>
      </c>
      <c r="E65" s="114">
        <v>6</v>
      </c>
      <c r="F65" s="194"/>
      <c r="G65" s="189">
        <f t="shared" si="0"/>
        <v>0</v>
      </c>
      <c r="H65" s="191"/>
      <c r="I65" s="189">
        <f t="shared" si="7"/>
        <v>0</v>
      </c>
      <c r="J65" s="102"/>
      <c r="K65" s="71">
        <f t="shared" si="8"/>
        <v>0</v>
      </c>
      <c r="L65" s="71">
        <f t="shared" si="9"/>
        <v>0</v>
      </c>
    </row>
    <row r="66" spans="1:12" s="65" customFormat="1" ht="13.5" x14ac:dyDescent="0.3">
      <c r="A66" s="57">
        <v>20</v>
      </c>
      <c r="B66" s="128" t="s">
        <v>145</v>
      </c>
      <c r="C66" s="106"/>
      <c r="D66" s="110" t="s">
        <v>146</v>
      </c>
      <c r="E66" s="89">
        <v>9.6</v>
      </c>
      <c r="F66" s="194"/>
      <c r="G66" s="189">
        <f t="shared" si="0"/>
        <v>0</v>
      </c>
      <c r="H66" s="194"/>
      <c r="I66" s="189">
        <f t="shared" si="7"/>
        <v>0</v>
      </c>
      <c r="J66" s="89"/>
      <c r="K66" s="71">
        <f t="shared" si="8"/>
        <v>0</v>
      </c>
      <c r="L66" s="71">
        <f t="shared" si="9"/>
        <v>0</v>
      </c>
    </row>
    <row r="67" spans="1:12" s="65" customFormat="1" ht="16.899999999999999" customHeight="1" x14ac:dyDescent="0.3">
      <c r="A67" s="57">
        <v>21</v>
      </c>
      <c r="B67" s="128" t="s">
        <v>147</v>
      </c>
      <c r="C67" s="106"/>
      <c r="D67" s="110" t="s">
        <v>146</v>
      </c>
      <c r="E67" s="89">
        <v>28.7</v>
      </c>
      <c r="F67" s="194"/>
      <c r="G67" s="189">
        <f t="shared" si="0"/>
        <v>0</v>
      </c>
      <c r="H67" s="194"/>
      <c r="I67" s="189">
        <f t="shared" si="7"/>
        <v>0</v>
      </c>
      <c r="J67" s="89"/>
      <c r="K67" s="71">
        <f t="shared" si="8"/>
        <v>0</v>
      </c>
      <c r="L67" s="71">
        <f t="shared" si="9"/>
        <v>0</v>
      </c>
    </row>
    <row r="68" spans="1:12" s="65" customFormat="1" ht="27" x14ac:dyDescent="0.3">
      <c r="A68" s="57">
        <v>22</v>
      </c>
      <c r="B68" s="129" t="s">
        <v>165</v>
      </c>
      <c r="C68" s="107"/>
      <c r="D68" s="110" t="s">
        <v>112</v>
      </c>
      <c r="E68" s="89">
        <v>10</v>
      </c>
      <c r="F68" s="194"/>
      <c r="G68" s="189">
        <f t="shared" si="0"/>
        <v>0</v>
      </c>
      <c r="H68" s="194"/>
      <c r="I68" s="189">
        <f t="shared" si="7"/>
        <v>0</v>
      </c>
      <c r="J68" s="89"/>
      <c r="K68" s="71">
        <f t="shared" si="8"/>
        <v>0</v>
      </c>
      <c r="L68" s="71">
        <f t="shared" si="9"/>
        <v>0</v>
      </c>
    </row>
    <row r="69" spans="1:12" s="65" customFormat="1" ht="40.5" x14ac:dyDescent="0.3">
      <c r="A69" s="57">
        <v>22</v>
      </c>
      <c r="B69" s="129" t="s">
        <v>169</v>
      </c>
      <c r="C69" s="107"/>
      <c r="D69" s="110" t="s">
        <v>9</v>
      </c>
      <c r="E69" s="89">
        <v>1</v>
      </c>
      <c r="F69" s="194"/>
      <c r="G69" s="189">
        <f t="shared" si="0"/>
        <v>0</v>
      </c>
      <c r="H69" s="194"/>
      <c r="I69" s="189">
        <f t="shared" si="7"/>
        <v>0</v>
      </c>
      <c r="J69" s="89"/>
      <c r="K69" s="71">
        <f t="shared" si="8"/>
        <v>0</v>
      </c>
      <c r="L69" s="71">
        <f t="shared" si="9"/>
        <v>0</v>
      </c>
    </row>
    <row r="70" spans="1:12" s="65" customFormat="1" ht="53.25" customHeight="1" x14ac:dyDescent="0.3">
      <c r="A70" s="57">
        <v>23</v>
      </c>
      <c r="B70" s="128" t="s">
        <v>166</v>
      </c>
      <c r="C70" s="106"/>
      <c r="D70" s="110" t="s">
        <v>112</v>
      </c>
      <c r="E70" s="89">
        <v>4</v>
      </c>
      <c r="F70" s="194"/>
      <c r="G70" s="189">
        <f t="shared" si="0"/>
        <v>0</v>
      </c>
      <c r="H70" s="194"/>
      <c r="I70" s="189">
        <f t="shared" si="7"/>
        <v>0</v>
      </c>
      <c r="J70" s="89"/>
      <c r="K70" s="71">
        <f t="shared" si="8"/>
        <v>0</v>
      </c>
      <c r="L70" s="71">
        <f t="shared" si="9"/>
        <v>0</v>
      </c>
    </row>
    <row r="71" spans="1:12" s="65" customFormat="1" ht="16.899999999999999" customHeight="1" x14ac:dyDescent="0.3">
      <c r="A71" s="57">
        <v>24</v>
      </c>
      <c r="B71" s="129" t="s">
        <v>148</v>
      </c>
      <c r="C71" s="107"/>
      <c r="D71" s="110" t="s">
        <v>149</v>
      </c>
      <c r="E71" s="89">
        <v>15</v>
      </c>
      <c r="F71" s="194"/>
      <c r="G71" s="189">
        <f t="shared" si="0"/>
        <v>0</v>
      </c>
      <c r="H71" s="194"/>
      <c r="I71" s="189">
        <f t="shared" si="7"/>
        <v>0</v>
      </c>
      <c r="J71" s="89"/>
      <c r="K71" s="71">
        <f t="shared" si="8"/>
        <v>0</v>
      </c>
      <c r="L71" s="71">
        <f t="shared" si="9"/>
        <v>0</v>
      </c>
    </row>
    <row r="72" spans="1:12" s="65" customFormat="1" ht="27" x14ac:dyDescent="0.3">
      <c r="A72" s="57">
        <v>25</v>
      </c>
      <c r="B72" s="27" t="s">
        <v>68</v>
      </c>
      <c r="C72" s="27"/>
      <c r="D72" s="52" t="s">
        <v>23</v>
      </c>
      <c r="E72" s="71">
        <v>4</v>
      </c>
      <c r="F72" s="189"/>
      <c r="G72" s="189">
        <f t="shared" si="0"/>
        <v>0</v>
      </c>
      <c r="H72" s="189"/>
      <c r="I72" s="189">
        <f t="shared" si="7"/>
        <v>0</v>
      </c>
      <c r="J72" s="71"/>
      <c r="K72" s="71">
        <f t="shared" si="8"/>
        <v>0</v>
      </c>
      <c r="L72" s="71">
        <f t="shared" si="9"/>
        <v>0</v>
      </c>
    </row>
    <row r="73" spans="1:12" s="65" customFormat="1" ht="16.149999999999999" customHeight="1" x14ac:dyDescent="0.3">
      <c r="A73" s="80"/>
      <c r="B73" s="9" t="s">
        <v>6</v>
      </c>
      <c r="C73" s="9"/>
      <c r="D73" s="52"/>
      <c r="E73" s="71"/>
      <c r="F73" s="189"/>
      <c r="G73" s="197">
        <f>SUM(G8:G72)</f>
        <v>0</v>
      </c>
      <c r="H73" s="197"/>
      <c r="I73" s="197">
        <f>SUM(I9:I72)</f>
        <v>0</v>
      </c>
      <c r="J73" s="98"/>
      <c r="K73" s="98">
        <f>SUM(K9:K72)</f>
        <v>0</v>
      </c>
      <c r="L73" s="98">
        <f>SUM(L8:L72)</f>
        <v>0</v>
      </c>
    </row>
    <row r="74" spans="1:12" s="96" customFormat="1" ht="16.149999999999999" customHeight="1" x14ac:dyDescent="0.35">
      <c r="A74" s="80"/>
      <c r="B74" s="97" t="s">
        <v>14</v>
      </c>
      <c r="C74" s="97"/>
      <c r="D74" s="59" t="s">
        <v>209</v>
      </c>
      <c r="E74" s="71"/>
      <c r="F74" s="198"/>
      <c r="G74" s="189"/>
      <c r="H74" s="189"/>
      <c r="I74" s="189"/>
      <c r="J74" s="71"/>
      <c r="K74" s="72"/>
      <c r="L74" s="71" t="e">
        <f>L73*D74</f>
        <v>#VALUE!</v>
      </c>
    </row>
    <row r="75" spans="1:12" s="96" customFormat="1" ht="16.149999999999999" customHeight="1" x14ac:dyDescent="0.35">
      <c r="A75" s="80"/>
      <c r="B75" s="97" t="s">
        <v>6</v>
      </c>
      <c r="C75" s="97"/>
      <c r="D75" s="52"/>
      <c r="E75" s="71"/>
      <c r="F75" s="198"/>
      <c r="G75" s="198"/>
      <c r="H75" s="189"/>
      <c r="I75" s="189"/>
      <c r="J75" s="71"/>
      <c r="K75" s="72"/>
      <c r="L75" s="71" t="e">
        <f>L74+L73</f>
        <v>#VALUE!</v>
      </c>
    </row>
    <row r="76" spans="1:12" s="96" customFormat="1" ht="16.149999999999999" customHeight="1" x14ac:dyDescent="0.35">
      <c r="A76" s="80"/>
      <c r="B76" s="97" t="s">
        <v>15</v>
      </c>
      <c r="C76" s="97"/>
      <c r="D76" s="59" t="s">
        <v>209</v>
      </c>
      <c r="E76" s="71"/>
      <c r="F76" s="198"/>
      <c r="G76" s="198"/>
      <c r="H76" s="189"/>
      <c r="I76" s="189"/>
      <c r="J76" s="71"/>
      <c r="K76" s="72"/>
      <c r="L76" s="71" t="e">
        <f>L75*D76</f>
        <v>#VALUE!</v>
      </c>
    </row>
    <row r="77" spans="1:12" s="96" customFormat="1" ht="16.149999999999999" customHeight="1" x14ac:dyDescent="0.35">
      <c r="A77" s="80"/>
      <c r="B77" s="97" t="s">
        <v>6</v>
      </c>
      <c r="C77" s="97"/>
      <c r="D77" s="52"/>
      <c r="E77" s="71"/>
      <c r="F77" s="198"/>
      <c r="G77" s="198"/>
      <c r="H77" s="189"/>
      <c r="I77" s="189"/>
      <c r="J77" s="71"/>
      <c r="K77" s="72"/>
      <c r="L77" s="71" t="e">
        <f>SUM(L75:L76)</f>
        <v>#VALUE!</v>
      </c>
    </row>
    <row r="78" spans="1:12" s="65" customFormat="1" ht="16.149999999999999" customHeight="1" x14ac:dyDescent="0.35">
      <c r="A78" s="81"/>
      <c r="B78" s="97" t="s">
        <v>16</v>
      </c>
      <c r="C78" s="97"/>
      <c r="D78" s="59" t="s">
        <v>209</v>
      </c>
      <c r="E78" s="71"/>
      <c r="F78" s="198"/>
      <c r="G78" s="198"/>
      <c r="H78" s="189"/>
      <c r="I78" s="189"/>
      <c r="J78" s="71"/>
      <c r="K78" s="72"/>
      <c r="L78" s="71" t="e">
        <f>L77*D78</f>
        <v>#VALUE!</v>
      </c>
    </row>
    <row r="79" spans="1:12" s="65" customFormat="1" ht="16.149999999999999" customHeight="1" x14ac:dyDescent="0.35">
      <c r="A79" s="81"/>
      <c r="B79" s="97" t="s">
        <v>6</v>
      </c>
      <c r="C79" s="97"/>
      <c r="D79" s="52"/>
      <c r="E79" s="71"/>
      <c r="F79" s="198"/>
      <c r="G79" s="198"/>
      <c r="H79" s="189"/>
      <c r="I79" s="189"/>
      <c r="J79" s="71"/>
      <c r="K79" s="72"/>
      <c r="L79" s="71" t="e">
        <f>SUM(L77:L78)</f>
        <v>#VALUE!</v>
      </c>
    </row>
    <row r="80" spans="1:12" s="65" customFormat="1" ht="16.149999999999999" customHeight="1" x14ac:dyDescent="0.35">
      <c r="A80" s="80"/>
      <c r="B80" s="97" t="s">
        <v>19</v>
      </c>
      <c r="C80" s="97"/>
      <c r="D80" s="59" t="s">
        <v>209</v>
      </c>
      <c r="E80" s="71"/>
      <c r="F80" s="198"/>
      <c r="G80" s="198"/>
      <c r="H80" s="189"/>
      <c r="I80" s="189"/>
      <c r="J80" s="71"/>
      <c r="K80" s="72"/>
      <c r="L80" s="71" t="e">
        <f>L79*D80</f>
        <v>#VALUE!</v>
      </c>
    </row>
    <row r="81" spans="1:12" s="65" customFormat="1" ht="16.149999999999999" customHeight="1" x14ac:dyDescent="0.35">
      <c r="A81" s="82"/>
      <c r="B81" s="97" t="s">
        <v>28</v>
      </c>
      <c r="C81" s="97"/>
      <c r="D81" s="59">
        <v>0.02</v>
      </c>
      <c r="E81" s="71"/>
      <c r="F81" s="198"/>
      <c r="G81" s="198"/>
      <c r="H81" s="189"/>
      <c r="I81" s="189"/>
      <c r="J81" s="71"/>
      <c r="K81" s="72"/>
      <c r="L81" s="71">
        <f>I73*D81</f>
        <v>0</v>
      </c>
    </row>
    <row r="82" spans="1:12" s="65" customFormat="1" ht="16.149999999999999" customHeight="1" x14ac:dyDescent="0.35">
      <c r="A82" s="83"/>
      <c r="B82" s="97" t="s">
        <v>6</v>
      </c>
      <c r="C82" s="97"/>
      <c r="D82" s="52"/>
      <c r="E82" s="71"/>
      <c r="F82" s="198"/>
      <c r="G82" s="198"/>
      <c r="H82" s="189"/>
      <c r="I82" s="189"/>
      <c r="J82" s="71"/>
      <c r="K82" s="72"/>
      <c r="L82" s="71" t="e">
        <f>L81+L80+L79</f>
        <v>#VALUE!</v>
      </c>
    </row>
    <row r="83" spans="1:12" s="65" customFormat="1" ht="16.149999999999999" customHeight="1" x14ac:dyDescent="0.3">
      <c r="A83" s="83"/>
      <c r="B83" s="9" t="s">
        <v>17</v>
      </c>
      <c r="C83" s="9"/>
      <c r="D83" s="59">
        <v>0.18</v>
      </c>
      <c r="E83" s="71"/>
      <c r="F83" s="198"/>
      <c r="G83" s="198"/>
      <c r="H83" s="198"/>
      <c r="I83" s="198"/>
      <c r="J83" s="72"/>
      <c r="K83" s="72"/>
      <c r="L83" s="71" t="e">
        <f>L82*D83</f>
        <v>#VALUE!</v>
      </c>
    </row>
    <row r="84" spans="1:12" s="65" customFormat="1" ht="16.149999999999999" customHeight="1" x14ac:dyDescent="0.35">
      <c r="A84" s="83"/>
      <c r="B84" s="70" t="s">
        <v>18</v>
      </c>
      <c r="C84" s="70"/>
      <c r="D84" s="60"/>
      <c r="E84" s="72"/>
      <c r="F84" s="198"/>
      <c r="G84" s="198"/>
      <c r="H84" s="198"/>
      <c r="I84" s="198"/>
      <c r="J84" s="72"/>
      <c r="K84" s="72"/>
      <c r="L84" s="73" t="e">
        <f>L83+L82</f>
        <v>#VALUE!</v>
      </c>
    </row>
  </sheetData>
  <autoFilter ref="A6:N84" xr:uid="{FDD2C99B-9AA9-4A66-8698-51F677B83243}"/>
  <mergeCells count="10">
    <mergeCell ref="A1:L1"/>
    <mergeCell ref="F3:I3"/>
    <mergeCell ref="A4:A5"/>
    <mergeCell ref="B4:B5"/>
    <mergeCell ref="D4:D5"/>
    <mergeCell ref="E4:E5"/>
    <mergeCell ref="F4:G4"/>
    <mergeCell ref="H4:I4"/>
    <mergeCell ref="J4:K4"/>
    <mergeCell ref="L4:L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1E066-880F-4415-B251-13EF087F8131}">
  <dimension ref="A1:N91"/>
  <sheetViews>
    <sheetView workbookViewId="0">
      <pane xSplit="4" ySplit="6" topLeftCell="E76" activePane="bottomRight" state="frozen"/>
      <selection pane="topRight" activeCell="E1" sqref="E1"/>
      <selection pane="bottomLeft" activeCell="A7" sqref="A7"/>
      <selection pane="bottomRight" activeCell="G88" sqref="G88"/>
    </sheetView>
  </sheetViews>
  <sheetFormatPr defaultColWidth="9.08984375" defaultRowHeight="12" x14ac:dyDescent="0.3"/>
  <cols>
    <col min="1" max="1" width="2.36328125" style="67" customWidth="1"/>
    <col min="2" max="2" width="47.26953125" style="42" customWidth="1"/>
    <col min="3" max="3" width="1.08984375" style="42" hidden="1" customWidth="1"/>
    <col min="4" max="4" width="6.08984375" style="67" customWidth="1"/>
    <col min="5" max="5" width="7.7265625" style="42" customWidth="1"/>
    <col min="6" max="6" width="7.36328125" style="199" customWidth="1"/>
    <col min="7" max="7" width="11" style="199" customWidth="1"/>
    <col min="8" max="8" width="6.36328125" style="199" customWidth="1"/>
    <col min="9" max="9" width="9.36328125" style="42" customWidth="1"/>
    <col min="10" max="10" width="10.08984375" style="42" customWidth="1"/>
    <col min="11" max="11" width="7" style="42" customWidth="1"/>
    <col min="12" max="12" width="11.7265625" style="42" customWidth="1"/>
    <col min="13" max="13" width="15.90625" style="42" customWidth="1"/>
    <col min="14" max="16384" width="9.08984375" style="42"/>
  </cols>
  <sheetData>
    <row r="1" spans="1:14" ht="19.899999999999999" customHeight="1" x14ac:dyDescent="0.3">
      <c r="A1" s="170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2"/>
    </row>
    <row r="2" spans="1:14" ht="19.149999999999999" customHeight="1" x14ac:dyDescent="0.3">
      <c r="A2" s="78"/>
      <c r="B2" s="137" t="s">
        <v>170</v>
      </c>
      <c r="C2" s="137"/>
      <c r="D2" s="137"/>
      <c r="E2" s="137"/>
      <c r="F2" s="182"/>
      <c r="G2" s="182"/>
      <c r="H2" s="182"/>
      <c r="I2" s="137"/>
      <c r="J2" s="137"/>
      <c r="K2" s="137"/>
      <c r="L2" s="138"/>
    </row>
    <row r="3" spans="1:14" ht="18" customHeight="1" x14ac:dyDescent="0.3">
      <c r="A3" s="79"/>
      <c r="B3" s="108" t="s">
        <v>187</v>
      </c>
      <c r="C3" s="108"/>
      <c r="D3" s="75"/>
      <c r="E3" s="76"/>
      <c r="F3" s="154" t="s">
        <v>22</v>
      </c>
      <c r="G3" s="154"/>
      <c r="H3" s="154"/>
      <c r="I3" s="154"/>
      <c r="J3" s="135" t="e">
        <f>L91</f>
        <v>#VALUE!</v>
      </c>
      <c r="K3" s="135"/>
      <c r="L3" s="136"/>
      <c r="N3" s="134"/>
    </row>
    <row r="4" spans="1:14" ht="15" customHeight="1" x14ac:dyDescent="0.3">
      <c r="A4" s="162" t="s">
        <v>26</v>
      </c>
      <c r="B4" s="164" t="s">
        <v>0</v>
      </c>
      <c r="C4" s="123"/>
      <c r="D4" s="162" t="s">
        <v>1</v>
      </c>
      <c r="E4" s="166" t="s">
        <v>2</v>
      </c>
      <c r="F4" s="184" t="s">
        <v>3</v>
      </c>
      <c r="G4" s="185"/>
      <c r="H4" s="168" t="s">
        <v>4</v>
      </c>
      <c r="I4" s="169"/>
      <c r="J4" s="160" t="s">
        <v>5</v>
      </c>
      <c r="K4" s="161"/>
      <c r="L4" s="162" t="s">
        <v>6</v>
      </c>
    </row>
    <row r="5" spans="1:14" ht="17.25" customHeight="1" x14ac:dyDescent="0.3">
      <c r="A5" s="163"/>
      <c r="B5" s="165"/>
      <c r="C5" s="124"/>
      <c r="D5" s="163"/>
      <c r="E5" s="167"/>
      <c r="F5" s="186" t="s">
        <v>7</v>
      </c>
      <c r="G5" s="186" t="s">
        <v>6</v>
      </c>
      <c r="H5" s="186" t="s">
        <v>7</v>
      </c>
      <c r="I5" s="52" t="s">
        <v>6</v>
      </c>
      <c r="J5" s="52" t="s">
        <v>7</v>
      </c>
      <c r="K5" s="52" t="s">
        <v>6</v>
      </c>
      <c r="L5" s="163"/>
    </row>
    <row r="6" spans="1:14" ht="12.5" x14ac:dyDescent="0.35">
      <c r="A6" s="53">
        <v>1</v>
      </c>
      <c r="B6" s="34">
        <v>2</v>
      </c>
      <c r="C6" s="34"/>
      <c r="D6" s="54">
        <v>3</v>
      </c>
      <c r="E6" s="34">
        <v>4</v>
      </c>
      <c r="F6" s="187">
        <v>5</v>
      </c>
      <c r="G6" s="187">
        <v>6</v>
      </c>
      <c r="H6" s="187">
        <v>7</v>
      </c>
      <c r="I6" s="34">
        <v>8</v>
      </c>
      <c r="J6" s="34">
        <v>9</v>
      </c>
      <c r="K6" s="34">
        <v>10</v>
      </c>
      <c r="L6" s="34">
        <v>11</v>
      </c>
    </row>
    <row r="7" spans="1:14" ht="13.5" x14ac:dyDescent="0.3">
      <c r="A7" s="53"/>
      <c r="B7" s="10" t="s">
        <v>86</v>
      </c>
      <c r="C7" s="10"/>
      <c r="D7" s="58"/>
      <c r="E7" s="47"/>
      <c r="F7" s="188"/>
      <c r="G7" s="188"/>
      <c r="H7" s="188"/>
      <c r="I7" s="47"/>
      <c r="J7" s="47"/>
      <c r="K7" s="47"/>
      <c r="L7" s="47"/>
    </row>
    <row r="8" spans="1:14" s="65" customFormat="1" ht="17.5" customHeight="1" x14ac:dyDescent="0.3">
      <c r="A8" s="57">
        <v>1</v>
      </c>
      <c r="B8" s="20" t="s">
        <v>122</v>
      </c>
      <c r="C8" s="20"/>
      <c r="D8" s="52" t="s">
        <v>73</v>
      </c>
      <c r="E8" s="71">
        <v>2</v>
      </c>
      <c r="F8" s="189"/>
      <c r="G8" s="189">
        <f t="shared" ref="G8:G79" si="0">F8*E8</f>
        <v>0</v>
      </c>
      <c r="H8" s="189"/>
      <c r="I8" s="71">
        <f t="shared" ref="I8:I39" si="1">H8*E8</f>
        <v>0</v>
      </c>
      <c r="J8" s="71"/>
      <c r="K8" s="71">
        <f t="shared" ref="K8:K39" si="2">J8*E8</f>
        <v>0</v>
      </c>
      <c r="L8" s="71">
        <f t="shared" ref="L8:L39" si="3">K8+I8+G8</f>
        <v>0</v>
      </c>
    </row>
    <row r="9" spans="1:14" s="65" customFormat="1" ht="17.5" customHeight="1" x14ac:dyDescent="0.3">
      <c r="A9" s="57">
        <v>2</v>
      </c>
      <c r="B9" s="20" t="s">
        <v>150</v>
      </c>
      <c r="C9" s="20"/>
      <c r="D9" s="52" t="s">
        <v>73</v>
      </c>
      <c r="E9" s="71">
        <v>89</v>
      </c>
      <c r="F9" s="189"/>
      <c r="G9" s="189">
        <f t="shared" si="0"/>
        <v>0</v>
      </c>
      <c r="H9" s="189"/>
      <c r="I9" s="71">
        <f t="shared" si="1"/>
        <v>0</v>
      </c>
      <c r="J9" s="71"/>
      <c r="K9" s="71">
        <f t="shared" si="2"/>
        <v>0</v>
      </c>
      <c r="L9" s="71">
        <f t="shared" si="3"/>
        <v>0</v>
      </c>
    </row>
    <row r="10" spans="1:14" s="65" customFormat="1" ht="17.5" customHeight="1" x14ac:dyDescent="0.3">
      <c r="A10" s="57">
        <v>3</v>
      </c>
      <c r="B10" s="20" t="s">
        <v>90</v>
      </c>
      <c r="C10" s="20"/>
      <c r="D10" s="52" t="s">
        <v>73</v>
      </c>
      <c r="E10" s="71">
        <v>41</v>
      </c>
      <c r="F10" s="189"/>
      <c r="G10" s="189">
        <f t="shared" si="0"/>
        <v>0</v>
      </c>
      <c r="H10" s="189"/>
      <c r="I10" s="71">
        <f t="shared" si="1"/>
        <v>0</v>
      </c>
      <c r="J10" s="71"/>
      <c r="K10" s="71">
        <f t="shared" si="2"/>
        <v>0</v>
      </c>
      <c r="L10" s="71">
        <f t="shared" si="3"/>
        <v>0</v>
      </c>
    </row>
    <row r="11" spans="1:14" s="65" customFormat="1" ht="17.5" customHeight="1" x14ac:dyDescent="0.3">
      <c r="A11" s="57">
        <v>4</v>
      </c>
      <c r="B11" s="20" t="s">
        <v>85</v>
      </c>
      <c r="C11" s="20"/>
      <c r="D11" s="52" t="s">
        <v>9</v>
      </c>
      <c r="E11" s="71">
        <v>7</v>
      </c>
      <c r="F11" s="189"/>
      <c r="G11" s="189">
        <f t="shared" si="0"/>
        <v>0</v>
      </c>
      <c r="H11" s="189"/>
      <c r="I11" s="71">
        <f t="shared" si="1"/>
        <v>0</v>
      </c>
      <c r="J11" s="71"/>
      <c r="K11" s="71">
        <f t="shared" si="2"/>
        <v>0</v>
      </c>
      <c r="L11" s="71">
        <f t="shared" si="3"/>
        <v>0</v>
      </c>
    </row>
    <row r="12" spans="1:14" s="65" customFormat="1" ht="17.5" customHeight="1" x14ac:dyDescent="0.3">
      <c r="A12" s="57">
        <v>5</v>
      </c>
      <c r="B12" s="20" t="s">
        <v>151</v>
      </c>
      <c r="C12" s="20"/>
      <c r="D12" s="52" t="s">
        <v>115</v>
      </c>
      <c r="E12" s="71">
        <v>1</v>
      </c>
      <c r="F12" s="189"/>
      <c r="G12" s="189">
        <f t="shared" si="0"/>
        <v>0</v>
      </c>
      <c r="H12" s="189"/>
      <c r="I12" s="71">
        <f t="shared" si="1"/>
        <v>0</v>
      </c>
      <c r="J12" s="71"/>
      <c r="K12" s="71">
        <f t="shared" si="2"/>
        <v>0</v>
      </c>
      <c r="L12" s="71">
        <f t="shared" si="3"/>
        <v>0</v>
      </c>
    </row>
    <row r="13" spans="1:14" s="65" customFormat="1" ht="17.5" customHeight="1" x14ac:dyDescent="0.3">
      <c r="A13" s="57">
        <v>6</v>
      </c>
      <c r="B13" s="20" t="s">
        <v>125</v>
      </c>
      <c r="C13" s="20"/>
      <c r="D13" s="52" t="s">
        <v>73</v>
      </c>
      <c r="E13" s="71"/>
      <c r="F13" s="189"/>
      <c r="G13" s="189">
        <f t="shared" si="0"/>
        <v>0</v>
      </c>
      <c r="H13" s="189"/>
      <c r="I13" s="71">
        <f t="shared" si="1"/>
        <v>0</v>
      </c>
      <c r="J13" s="71"/>
      <c r="K13" s="71">
        <f t="shared" si="2"/>
        <v>0</v>
      </c>
      <c r="L13" s="71">
        <f t="shared" si="3"/>
        <v>0</v>
      </c>
    </row>
    <row r="14" spans="1:14" s="65" customFormat="1" ht="17.5" customHeight="1" x14ac:dyDescent="0.3">
      <c r="A14" s="57">
        <v>7</v>
      </c>
      <c r="B14" s="20" t="s">
        <v>152</v>
      </c>
      <c r="C14" s="20"/>
      <c r="D14" s="52" t="s">
        <v>91</v>
      </c>
      <c r="E14" s="71"/>
      <c r="F14" s="189"/>
      <c r="G14" s="189">
        <f t="shared" si="0"/>
        <v>0</v>
      </c>
      <c r="H14" s="189"/>
      <c r="I14" s="71">
        <f t="shared" si="1"/>
        <v>0</v>
      </c>
      <c r="J14" s="71"/>
      <c r="K14" s="71">
        <f t="shared" si="2"/>
        <v>0</v>
      </c>
      <c r="L14" s="71">
        <f t="shared" si="3"/>
        <v>0</v>
      </c>
    </row>
    <row r="15" spans="1:14" s="65" customFormat="1" ht="33" customHeight="1" x14ac:dyDescent="0.3">
      <c r="A15" s="57">
        <v>8</v>
      </c>
      <c r="B15" s="9" t="s">
        <v>68</v>
      </c>
      <c r="C15" s="9"/>
      <c r="D15" s="52" t="s">
        <v>23</v>
      </c>
      <c r="E15" s="71">
        <v>4</v>
      </c>
      <c r="F15" s="189"/>
      <c r="G15" s="189">
        <f t="shared" si="0"/>
        <v>0</v>
      </c>
      <c r="H15" s="189"/>
      <c r="I15" s="71">
        <f t="shared" si="1"/>
        <v>0</v>
      </c>
      <c r="J15" s="71"/>
      <c r="K15" s="71">
        <f t="shared" si="2"/>
        <v>0</v>
      </c>
      <c r="L15" s="71">
        <f t="shared" si="3"/>
        <v>0</v>
      </c>
    </row>
    <row r="16" spans="1:14" s="65" customFormat="1" ht="13.5" x14ac:dyDescent="0.3">
      <c r="A16" s="57"/>
      <c r="B16" s="68" t="s">
        <v>87</v>
      </c>
      <c r="C16" s="68"/>
      <c r="D16" s="52"/>
      <c r="E16" s="71"/>
      <c r="F16" s="189"/>
      <c r="G16" s="189">
        <f t="shared" si="0"/>
        <v>0</v>
      </c>
      <c r="H16" s="189"/>
      <c r="I16" s="71">
        <f t="shared" si="1"/>
        <v>0</v>
      </c>
      <c r="J16" s="71"/>
      <c r="K16" s="71">
        <f t="shared" si="2"/>
        <v>0</v>
      </c>
      <c r="L16" s="71">
        <f t="shared" si="3"/>
        <v>0</v>
      </c>
    </row>
    <row r="17" spans="1:12" s="65" customFormat="1" ht="24.65" customHeight="1" x14ac:dyDescent="0.35">
      <c r="A17" s="57">
        <v>1</v>
      </c>
      <c r="B17" s="85" t="s">
        <v>118</v>
      </c>
      <c r="C17" s="85"/>
      <c r="D17" s="111" t="s">
        <v>8</v>
      </c>
      <c r="E17" s="90">
        <v>8</v>
      </c>
      <c r="F17" s="190"/>
      <c r="G17" s="189">
        <f t="shared" si="0"/>
        <v>0</v>
      </c>
      <c r="H17" s="191"/>
      <c r="I17" s="71">
        <f t="shared" si="1"/>
        <v>0</v>
      </c>
      <c r="J17" s="16"/>
      <c r="K17" s="71">
        <f t="shared" si="2"/>
        <v>0</v>
      </c>
      <c r="L17" s="71">
        <f t="shared" si="3"/>
        <v>0</v>
      </c>
    </row>
    <row r="18" spans="1:12" s="65" customFormat="1" ht="13.5" x14ac:dyDescent="0.3">
      <c r="A18" s="57"/>
      <c r="B18" s="87" t="s">
        <v>96</v>
      </c>
      <c r="C18" s="87"/>
      <c r="D18" s="52" t="s">
        <v>92</v>
      </c>
      <c r="E18" s="16">
        <v>0.1</v>
      </c>
      <c r="F18" s="191"/>
      <c r="G18" s="189">
        <f t="shared" si="0"/>
        <v>0</v>
      </c>
      <c r="H18" s="191"/>
      <c r="I18" s="71">
        <f t="shared" si="1"/>
        <v>0</v>
      </c>
      <c r="J18" s="16"/>
      <c r="K18" s="71">
        <f t="shared" si="2"/>
        <v>0</v>
      </c>
      <c r="L18" s="71">
        <f t="shared" si="3"/>
        <v>0</v>
      </c>
    </row>
    <row r="19" spans="1:12" s="65" customFormat="1" ht="13.5" x14ac:dyDescent="0.3">
      <c r="A19" s="57"/>
      <c r="B19" s="87" t="s">
        <v>97</v>
      </c>
      <c r="C19" s="87"/>
      <c r="D19" s="52" t="s">
        <v>153</v>
      </c>
      <c r="E19" s="16">
        <v>30</v>
      </c>
      <c r="F19" s="191"/>
      <c r="G19" s="189">
        <f t="shared" si="0"/>
        <v>0</v>
      </c>
      <c r="H19" s="191"/>
      <c r="I19" s="71">
        <f t="shared" si="1"/>
        <v>0</v>
      </c>
      <c r="J19" s="16"/>
      <c r="K19" s="71">
        <f t="shared" si="2"/>
        <v>0</v>
      </c>
      <c r="L19" s="71">
        <f t="shared" si="3"/>
        <v>0</v>
      </c>
    </row>
    <row r="20" spans="1:12" s="65" customFormat="1" ht="13.5" x14ac:dyDescent="0.3">
      <c r="A20" s="57"/>
      <c r="B20" s="87" t="s">
        <v>154</v>
      </c>
      <c r="C20" s="87"/>
      <c r="D20" s="52" t="s">
        <v>10</v>
      </c>
      <c r="E20" s="16"/>
      <c r="F20" s="191"/>
      <c r="G20" s="189">
        <f t="shared" si="0"/>
        <v>0</v>
      </c>
      <c r="H20" s="191"/>
      <c r="I20" s="71">
        <f t="shared" si="1"/>
        <v>0</v>
      </c>
      <c r="J20" s="16"/>
      <c r="K20" s="71">
        <f t="shared" si="2"/>
        <v>0</v>
      </c>
      <c r="L20" s="71">
        <f t="shared" si="3"/>
        <v>0</v>
      </c>
    </row>
    <row r="21" spans="1:12" s="65" customFormat="1" ht="13.5" x14ac:dyDescent="0.3">
      <c r="A21" s="57"/>
      <c r="B21" s="88" t="s">
        <v>11</v>
      </c>
      <c r="C21" s="88"/>
      <c r="D21" s="52" t="s">
        <v>12</v>
      </c>
      <c r="E21" s="16">
        <f>E17*0.2</f>
        <v>1.6</v>
      </c>
      <c r="F21" s="191"/>
      <c r="G21" s="189">
        <f t="shared" si="0"/>
        <v>0</v>
      </c>
      <c r="H21" s="191"/>
      <c r="I21" s="71">
        <f t="shared" si="1"/>
        <v>0</v>
      </c>
      <c r="J21" s="16"/>
      <c r="K21" s="71">
        <f t="shared" si="2"/>
        <v>0</v>
      </c>
      <c r="L21" s="71">
        <f t="shared" si="3"/>
        <v>0</v>
      </c>
    </row>
    <row r="22" spans="1:12" s="65" customFormat="1" ht="14.5" x14ac:dyDescent="0.35">
      <c r="A22" s="57">
        <v>2</v>
      </c>
      <c r="B22" s="133" t="s">
        <v>155</v>
      </c>
      <c r="C22" s="91"/>
      <c r="D22" s="111" t="s">
        <v>112</v>
      </c>
      <c r="E22" s="90">
        <v>6</v>
      </c>
      <c r="F22" s="192"/>
      <c r="G22" s="189">
        <f t="shared" si="0"/>
        <v>0</v>
      </c>
      <c r="H22" s="193"/>
      <c r="I22" s="71">
        <f t="shared" si="1"/>
        <v>0</v>
      </c>
      <c r="J22" s="28"/>
      <c r="K22" s="71">
        <f t="shared" si="2"/>
        <v>0</v>
      </c>
      <c r="L22" s="71">
        <f t="shared" si="3"/>
        <v>0</v>
      </c>
    </row>
    <row r="23" spans="1:12" s="65" customFormat="1" ht="83.5" customHeight="1" x14ac:dyDescent="0.3">
      <c r="A23" s="57"/>
      <c r="B23" s="72" t="s">
        <v>156</v>
      </c>
      <c r="C23" s="29"/>
      <c r="D23" s="55" t="s">
        <v>116</v>
      </c>
      <c r="E23" s="28">
        <v>72</v>
      </c>
      <c r="F23" s="193"/>
      <c r="G23" s="189">
        <f t="shared" si="0"/>
        <v>0</v>
      </c>
      <c r="H23" s="193"/>
      <c r="I23" s="71">
        <f t="shared" si="1"/>
        <v>0</v>
      </c>
      <c r="J23" s="28"/>
      <c r="K23" s="71">
        <f t="shared" si="2"/>
        <v>0</v>
      </c>
      <c r="L23" s="71">
        <f t="shared" si="3"/>
        <v>0</v>
      </c>
    </row>
    <row r="24" spans="1:12" s="65" customFormat="1" ht="13.5" x14ac:dyDescent="0.3">
      <c r="A24" s="57"/>
      <c r="B24" s="30" t="s">
        <v>127</v>
      </c>
      <c r="C24" s="30"/>
      <c r="D24" s="55" t="s">
        <v>112</v>
      </c>
      <c r="E24" s="28">
        <v>1</v>
      </c>
      <c r="F24" s="193"/>
      <c r="G24" s="189">
        <f t="shared" si="0"/>
        <v>0</v>
      </c>
      <c r="H24" s="193"/>
      <c r="I24" s="71">
        <f t="shared" si="1"/>
        <v>0</v>
      </c>
      <c r="J24" s="28"/>
      <c r="K24" s="71">
        <f t="shared" si="2"/>
        <v>0</v>
      </c>
      <c r="L24" s="71">
        <f t="shared" si="3"/>
        <v>0</v>
      </c>
    </row>
    <row r="25" spans="1:12" s="65" customFormat="1" ht="13.5" x14ac:dyDescent="0.35">
      <c r="A25" s="57"/>
      <c r="B25" s="92" t="s">
        <v>11</v>
      </c>
      <c r="C25" s="92"/>
      <c r="D25" s="55" t="s">
        <v>12</v>
      </c>
      <c r="E25" s="28">
        <v>0</v>
      </c>
      <c r="F25" s="193"/>
      <c r="G25" s="189">
        <f t="shared" si="0"/>
        <v>0</v>
      </c>
      <c r="H25" s="193"/>
      <c r="I25" s="71">
        <f t="shared" si="1"/>
        <v>0</v>
      </c>
      <c r="J25" s="28"/>
      <c r="K25" s="71">
        <f t="shared" si="2"/>
        <v>0</v>
      </c>
      <c r="L25" s="71">
        <f t="shared" si="3"/>
        <v>0</v>
      </c>
    </row>
    <row r="26" spans="1:12" s="65" customFormat="1" ht="14.5" x14ac:dyDescent="0.35">
      <c r="A26" s="57">
        <v>3</v>
      </c>
      <c r="B26" s="85"/>
      <c r="C26" s="85"/>
      <c r="D26" s="111" t="s">
        <v>8</v>
      </c>
      <c r="E26" s="90">
        <f>E22</f>
        <v>6</v>
      </c>
      <c r="F26" s="192"/>
      <c r="G26" s="189">
        <f t="shared" si="0"/>
        <v>0</v>
      </c>
      <c r="H26" s="191"/>
      <c r="I26" s="71">
        <f t="shared" si="1"/>
        <v>0</v>
      </c>
      <c r="J26" s="16"/>
      <c r="K26" s="71">
        <f t="shared" si="2"/>
        <v>0</v>
      </c>
      <c r="L26" s="71">
        <f t="shared" si="3"/>
        <v>0</v>
      </c>
    </row>
    <row r="27" spans="1:12" s="65" customFormat="1" ht="79.5" customHeight="1" x14ac:dyDescent="0.3">
      <c r="A27" s="57"/>
      <c r="B27" s="130" t="s">
        <v>171</v>
      </c>
      <c r="C27" s="86"/>
      <c r="D27" s="52" t="s">
        <v>112</v>
      </c>
      <c r="E27" s="89">
        <v>20</v>
      </c>
      <c r="F27" s="194"/>
      <c r="G27" s="189">
        <f t="shared" si="0"/>
        <v>0</v>
      </c>
      <c r="H27" s="194"/>
      <c r="I27" s="71">
        <f t="shared" si="1"/>
        <v>0</v>
      </c>
      <c r="J27" s="89"/>
      <c r="K27" s="71">
        <f t="shared" si="2"/>
        <v>0</v>
      </c>
      <c r="L27" s="71">
        <f t="shared" si="3"/>
        <v>0</v>
      </c>
    </row>
    <row r="28" spans="1:12" s="65" customFormat="1" ht="78" customHeight="1" x14ac:dyDescent="0.3">
      <c r="A28" s="57"/>
      <c r="B28" s="126" t="s">
        <v>172</v>
      </c>
      <c r="C28" s="87"/>
      <c r="D28" s="109" t="s">
        <v>112</v>
      </c>
      <c r="E28" s="16">
        <v>30</v>
      </c>
      <c r="F28" s="191"/>
      <c r="G28" s="189">
        <f t="shared" si="0"/>
        <v>0</v>
      </c>
      <c r="H28" s="191"/>
      <c r="I28" s="71">
        <f t="shared" si="1"/>
        <v>0</v>
      </c>
      <c r="J28" s="16"/>
      <c r="K28" s="71">
        <f t="shared" si="2"/>
        <v>0</v>
      </c>
      <c r="L28" s="71">
        <f t="shared" si="3"/>
        <v>0</v>
      </c>
    </row>
    <row r="29" spans="1:12" s="65" customFormat="1" ht="33" customHeight="1" x14ac:dyDescent="0.3">
      <c r="A29" s="57"/>
      <c r="B29" s="30" t="s">
        <v>94</v>
      </c>
      <c r="C29" s="30"/>
      <c r="D29" s="55" t="s">
        <v>13</v>
      </c>
      <c r="E29" s="28">
        <f>E26*0.25</f>
        <v>1.5</v>
      </c>
      <c r="F29" s="193"/>
      <c r="G29" s="189">
        <f t="shared" si="0"/>
        <v>0</v>
      </c>
      <c r="H29" s="193"/>
      <c r="I29" s="71">
        <f t="shared" si="1"/>
        <v>0</v>
      </c>
      <c r="J29" s="28"/>
      <c r="K29" s="71">
        <f t="shared" si="2"/>
        <v>0</v>
      </c>
      <c r="L29" s="71">
        <f t="shared" si="3"/>
        <v>0</v>
      </c>
    </row>
    <row r="30" spans="1:12" s="65" customFormat="1" ht="13.5" x14ac:dyDescent="0.3">
      <c r="A30" s="57"/>
      <c r="B30" s="30" t="s">
        <v>95</v>
      </c>
      <c r="C30" s="30"/>
      <c r="D30" s="55" t="s">
        <v>13</v>
      </c>
      <c r="E30" s="28">
        <f>E27*0.3</f>
        <v>6</v>
      </c>
      <c r="F30" s="193"/>
      <c r="G30" s="189">
        <f t="shared" si="0"/>
        <v>0</v>
      </c>
      <c r="H30" s="193"/>
      <c r="I30" s="71">
        <f t="shared" si="1"/>
        <v>0</v>
      </c>
      <c r="J30" s="28"/>
      <c r="K30" s="71">
        <f t="shared" si="2"/>
        <v>0</v>
      </c>
      <c r="L30" s="71">
        <f t="shared" si="3"/>
        <v>0</v>
      </c>
    </row>
    <row r="31" spans="1:12" s="65" customFormat="1" ht="13.5" x14ac:dyDescent="0.35">
      <c r="A31" s="57"/>
      <c r="B31" s="92" t="s">
        <v>11</v>
      </c>
      <c r="C31" s="92"/>
      <c r="D31" s="55" t="s">
        <v>12</v>
      </c>
      <c r="E31" s="28">
        <f>E26*0.03</f>
        <v>0.18</v>
      </c>
      <c r="F31" s="193"/>
      <c r="G31" s="189">
        <f t="shared" si="0"/>
        <v>0</v>
      </c>
      <c r="H31" s="193"/>
      <c r="I31" s="71">
        <f t="shared" si="1"/>
        <v>0</v>
      </c>
      <c r="J31" s="28"/>
      <c r="K31" s="71">
        <f t="shared" si="2"/>
        <v>0</v>
      </c>
      <c r="L31" s="71">
        <f t="shared" si="3"/>
        <v>0</v>
      </c>
    </row>
    <row r="32" spans="1:12" s="65" customFormat="1" ht="27" x14ac:dyDescent="0.35">
      <c r="A32" s="57">
        <v>4</v>
      </c>
      <c r="B32" s="94" t="s">
        <v>104</v>
      </c>
      <c r="C32" s="94"/>
      <c r="D32" s="111" t="s">
        <v>8</v>
      </c>
      <c r="E32" s="95">
        <v>39</v>
      </c>
      <c r="F32" s="196"/>
      <c r="G32" s="189">
        <f t="shared" si="0"/>
        <v>0</v>
      </c>
      <c r="H32" s="196"/>
      <c r="I32" s="71">
        <f t="shared" si="1"/>
        <v>0</v>
      </c>
      <c r="J32" s="6"/>
      <c r="K32" s="71">
        <f t="shared" si="2"/>
        <v>0</v>
      </c>
      <c r="L32" s="71">
        <f t="shared" si="3"/>
        <v>0</v>
      </c>
    </row>
    <row r="33" spans="1:12" s="65" customFormat="1" ht="13.5" x14ac:dyDescent="0.35">
      <c r="A33" s="57"/>
      <c r="B33" s="63" t="s">
        <v>99</v>
      </c>
      <c r="C33" s="63"/>
      <c r="D33" s="109" t="s">
        <v>8</v>
      </c>
      <c r="E33" s="6">
        <f>E32*2.05</f>
        <v>79.949999999999989</v>
      </c>
      <c r="F33" s="196"/>
      <c r="G33" s="189">
        <f t="shared" si="0"/>
        <v>0</v>
      </c>
      <c r="H33" s="196"/>
      <c r="I33" s="71">
        <f t="shared" si="1"/>
        <v>0</v>
      </c>
      <c r="J33" s="6"/>
      <c r="K33" s="71">
        <f t="shared" si="2"/>
        <v>0</v>
      </c>
      <c r="L33" s="71">
        <f t="shared" si="3"/>
        <v>0</v>
      </c>
    </row>
    <row r="34" spans="1:12" s="65" customFormat="1" ht="86.5" customHeight="1" x14ac:dyDescent="0.3">
      <c r="A34" s="57"/>
      <c r="B34" s="9" t="s">
        <v>102</v>
      </c>
      <c r="C34" s="9"/>
      <c r="D34" s="55" t="s">
        <v>8</v>
      </c>
      <c r="E34" s="6">
        <f>E32</f>
        <v>39</v>
      </c>
      <c r="F34" s="196"/>
      <c r="G34" s="189">
        <f t="shared" si="0"/>
        <v>0</v>
      </c>
      <c r="H34" s="196"/>
      <c r="I34" s="71">
        <f t="shared" si="1"/>
        <v>0</v>
      </c>
      <c r="J34" s="6"/>
      <c r="K34" s="71">
        <f t="shared" si="2"/>
        <v>0</v>
      </c>
      <c r="L34" s="71">
        <f t="shared" si="3"/>
        <v>0</v>
      </c>
    </row>
    <row r="35" spans="1:12" s="65" customFormat="1" ht="53.25" customHeight="1" x14ac:dyDescent="0.35">
      <c r="A35" s="57"/>
      <c r="B35" s="72" t="s">
        <v>81</v>
      </c>
      <c r="C35" s="21"/>
      <c r="D35" s="55" t="s">
        <v>8</v>
      </c>
      <c r="E35" s="6">
        <f>E32</f>
        <v>39</v>
      </c>
      <c r="F35" s="196"/>
      <c r="G35" s="189">
        <f t="shared" si="0"/>
        <v>0</v>
      </c>
      <c r="H35" s="196"/>
      <c r="I35" s="71">
        <f t="shared" si="1"/>
        <v>0</v>
      </c>
      <c r="J35" s="6"/>
      <c r="K35" s="71">
        <f t="shared" si="2"/>
        <v>0</v>
      </c>
      <c r="L35" s="71">
        <f t="shared" si="3"/>
        <v>0</v>
      </c>
    </row>
    <row r="36" spans="1:12" s="65" customFormat="1" ht="13.5" x14ac:dyDescent="0.35">
      <c r="A36" s="57"/>
      <c r="B36" s="21"/>
      <c r="C36" s="21"/>
      <c r="D36" s="55" t="s">
        <v>10</v>
      </c>
      <c r="E36" s="6">
        <v>5</v>
      </c>
      <c r="F36" s="196"/>
      <c r="G36" s="189">
        <f t="shared" si="0"/>
        <v>0</v>
      </c>
      <c r="H36" s="196"/>
      <c r="I36" s="71">
        <f t="shared" si="1"/>
        <v>0</v>
      </c>
      <c r="J36" s="6"/>
      <c r="K36" s="71">
        <f t="shared" si="2"/>
        <v>0</v>
      </c>
      <c r="L36" s="71">
        <f t="shared" si="3"/>
        <v>0</v>
      </c>
    </row>
    <row r="37" spans="1:12" s="65" customFormat="1" ht="13.5" x14ac:dyDescent="0.35">
      <c r="A37" s="57"/>
      <c r="B37" s="21" t="s">
        <v>11</v>
      </c>
      <c r="C37" s="21"/>
      <c r="D37" s="55" t="s">
        <v>12</v>
      </c>
      <c r="E37" s="6">
        <f>E32*0.03</f>
        <v>1.17</v>
      </c>
      <c r="F37" s="196"/>
      <c r="G37" s="189">
        <f t="shared" si="0"/>
        <v>0</v>
      </c>
      <c r="H37" s="196"/>
      <c r="I37" s="71">
        <f t="shared" si="1"/>
        <v>0</v>
      </c>
      <c r="J37" s="6"/>
      <c r="K37" s="71">
        <f t="shared" si="2"/>
        <v>0</v>
      </c>
      <c r="L37" s="71">
        <f t="shared" si="3"/>
        <v>0</v>
      </c>
    </row>
    <row r="38" spans="1:12" s="65" customFormat="1" ht="15.65" customHeight="1" x14ac:dyDescent="0.3">
      <c r="A38" s="57">
        <v>5</v>
      </c>
      <c r="B38" s="91" t="s">
        <v>100</v>
      </c>
      <c r="C38" s="91"/>
      <c r="D38" s="111" t="s">
        <v>8</v>
      </c>
      <c r="E38" s="95">
        <v>51</v>
      </c>
      <c r="F38" s="193"/>
      <c r="G38" s="189">
        <f t="shared" si="0"/>
        <v>0</v>
      </c>
      <c r="H38" s="196"/>
      <c r="I38" s="71">
        <f t="shared" si="1"/>
        <v>0</v>
      </c>
      <c r="J38" s="6"/>
      <c r="K38" s="71">
        <f t="shared" si="2"/>
        <v>0</v>
      </c>
      <c r="L38" s="71">
        <f t="shared" si="3"/>
        <v>0</v>
      </c>
    </row>
    <row r="39" spans="1:12" s="65" customFormat="1" ht="13.5" x14ac:dyDescent="0.35">
      <c r="A39" s="57"/>
      <c r="B39" s="63" t="s">
        <v>119</v>
      </c>
      <c r="C39" s="63"/>
      <c r="D39" s="109" t="s">
        <v>8</v>
      </c>
      <c r="E39" s="6">
        <f>E38*1.05</f>
        <v>53.550000000000004</v>
      </c>
      <c r="F39" s="196"/>
      <c r="G39" s="189">
        <f t="shared" si="0"/>
        <v>0</v>
      </c>
      <c r="H39" s="196"/>
      <c r="I39" s="71">
        <f t="shared" si="1"/>
        <v>0</v>
      </c>
      <c r="J39" s="6"/>
      <c r="K39" s="71">
        <f t="shared" si="2"/>
        <v>0</v>
      </c>
      <c r="L39" s="71">
        <f t="shared" si="3"/>
        <v>0</v>
      </c>
    </row>
    <row r="40" spans="1:12" s="65" customFormat="1" ht="47.25" customHeight="1" x14ac:dyDescent="0.3">
      <c r="A40" s="57"/>
      <c r="B40" s="9" t="s">
        <v>101</v>
      </c>
      <c r="C40" s="9"/>
      <c r="D40" s="55" t="s">
        <v>8</v>
      </c>
      <c r="E40" s="6">
        <f>E38</f>
        <v>51</v>
      </c>
      <c r="F40" s="196"/>
      <c r="G40" s="189">
        <f t="shared" si="0"/>
        <v>0</v>
      </c>
      <c r="H40" s="196"/>
      <c r="I40" s="71">
        <f t="shared" ref="I40:I71" si="4">H40*E40</f>
        <v>0</v>
      </c>
      <c r="J40" s="6"/>
      <c r="K40" s="71">
        <f t="shared" ref="K40:K71" si="5">J40*E40</f>
        <v>0</v>
      </c>
      <c r="L40" s="71">
        <f t="shared" ref="L40:L71" si="6">K40+I40+G40</f>
        <v>0</v>
      </c>
    </row>
    <row r="41" spans="1:12" s="65" customFormat="1" ht="13.5" x14ac:dyDescent="0.35">
      <c r="A41" s="57"/>
      <c r="B41" s="21" t="s">
        <v>11</v>
      </c>
      <c r="C41" s="21"/>
      <c r="D41" s="55" t="s">
        <v>12</v>
      </c>
      <c r="E41" s="6">
        <f>E38*0.02</f>
        <v>1.02</v>
      </c>
      <c r="F41" s="196"/>
      <c r="G41" s="189">
        <f t="shared" si="0"/>
        <v>0</v>
      </c>
      <c r="H41" s="196"/>
      <c r="I41" s="71">
        <f t="shared" si="4"/>
        <v>0</v>
      </c>
      <c r="J41" s="6"/>
      <c r="K41" s="71">
        <f t="shared" si="5"/>
        <v>0</v>
      </c>
      <c r="L41" s="71">
        <f t="shared" si="6"/>
        <v>0</v>
      </c>
    </row>
    <row r="42" spans="1:12" s="65" customFormat="1" ht="18" customHeight="1" x14ac:dyDescent="0.3">
      <c r="A42" s="57">
        <v>6</v>
      </c>
      <c r="B42" s="20" t="s">
        <v>128</v>
      </c>
      <c r="C42" s="27"/>
      <c r="D42" s="55" t="s">
        <v>129</v>
      </c>
      <c r="E42" s="28">
        <v>7</v>
      </c>
      <c r="F42" s="193"/>
      <c r="G42" s="189">
        <f t="shared" si="0"/>
        <v>0</v>
      </c>
      <c r="H42" s="193"/>
      <c r="I42" s="71">
        <f t="shared" si="4"/>
        <v>0</v>
      </c>
      <c r="J42" s="28"/>
      <c r="K42" s="71">
        <f t="shared" si="5"/>
        <v>0</v>
      </c>
      <c r="L42" s="71">
        <f t="shared" si="6"/>
        <v>0</v>
      </c>
    </row>
    <row r="43" spans="1:12" s="65" customFormat="1" ht="13.5" x14ac:dyDescent="0.35">
      <c r="A43" s="57"/>
      <c r="B43" s="63" t="s">
        <v>130</v>
      </c>
      <c r="C43" s="63"/>
      <c r="D43" s="55" t="s">
        <v>116</v>
      </c>
      <c r="E43" s="28">
        <v>40</v>
      </c>
      <c r="F43" s="193"/>
      <c r="G43" s="189">
        <f t="shared" si="0"/>
        <v>0</v>
      </c>
      <c r="H43" s="193"/>
      <c r="I43" s="71">
        <f t="shared" si="4"/>
        <v>0</v>
      </c>
      <c r="J43" s="28"/>
      <c r="K43" s="71">
        <f t="shared" si="5"/>
        <v>0</v>
      </c>
      <c r="L43" s="71">
        <f t="shared" si="6"/>
        <v>0</v>
      </c>
    </row>
    <row r="44" spans="1:12" s="65" customFormat="1" ht="54.75" customHeight="1" x14ac:dyDescent="0.3">
      <c r="A44" s="57"/>
      <c r="B44" s="29" t="s">
        <v>157</v>
      </c>
      <c r="C44" s="29"/>
      <c r="D44" s="55" t="s">
        <v>112</v>
      </c>
      <c r="E44" s="28">
        <v>10</v>
      </c>
      <c r="F44" s="193"/>
      <c r="G44" s="189">
        <f t="shared" si="0"/>
        <v>0</v>
      </c>
      <c r="H44" s="193"/>
      <c r="I44" s="71">
        <f t="shared" si="4"/>
        <v>0</v>
      </c>
      <c r="J44" s="28"/>
      <c r="K44" s="71">
        <f t="shared" si="5"/>
        <v>0</v>
      </c>
      <c r="L44" s="71">
        <f t="shared" si="6"/>
        <v>0</v>
      </c>
    </row>
    <row r="45" spans="1:12" s="65" customFormat="1" ht="13.5" x14ac:dyDescent="0.3">
      <c r="A45" s="57"/>
      <c r="B45" s="29" t="s">
        <v>132</v>
      </c>
      <c r="C45" s="29"/>
      <c r="D45" s="55" t="s">
        <v>116</v>
      </c>
      <c r="E45" s="28">
        <v>12</v>
      </c>
      <c r="F45" s="193"/>
      <c r="G45" s="189">
        <f t="shared" si="0"/>
        <v>0</v>
      </c>
      <c r="H45" s="193"/>
      <c r="I45" s="71">
        <f t="shared" si="4"/>
        <v>0</v>
      </c>
      <c r="J45" s="28"/>
      <c r="K45" s="71">
        <f t="shared" si="5"/>
        <v>0</v>
      </c>
      <c r="L45" s="71">
        <f t="shared" si="6"/>
        <v>0</v>
      </c>
    </row>
    <row r="46" spans="1:12" s="65" customFormat="1" ht="13.5" x14ac:dyDescent="0.3">
      <c r="A46" s="57"/>
      <c r="B46" s="29" t="s">
        <v>133</v>
      </c>
      <c r="C46" s="29"/>
      <c r="D46" s="55" t="s">
        <v>116</v>
      </c>
      <c r="E46" s="28">
        <v>5</v>
      </c>
      <c r="F46" s="193"/>
      <c r="G46" s="189">
        <f t="shared" si="0"/>
        <v>0</v>
      </c>
      <c r="H46" s="193"/>
      <c r="I46" s="71">
        <f t="shared" si="4"/>
        <v>0</v>
      </c>
      <c r="J46" s="28"/>
      <c r="K46" s="71">
        <f t="shared" si="5"/>
        <v>0</v>
      </c>
      <c r="L46" s="71">
        <f t="shared" si="6"/>
        <v>0</v>
      </c>
    </row>
    <row r="47" spans="1:12" s="65" customFormat="1" ht="13.5" x14ac:dyDescent="0.35">
      <c r="A47" s="57"/>
      <c r="B47" s="21" t="s">
        <v>134</v>
      </c>
      <c r="C47" s="21"/>
      <c r="D47" s="55" t="s">
        <v>112</v>
      </c>
      <c r="E47" s="28">
        <v>15</v>
      </c>
      <c r="F47" s="193"/>
      <c r="G47" s="189">
        <f t="shared" si="0"/>
        <v>0</v>
      </c>
      <c r="H47" s="193"/>
      <c r="I47" s="71">
        <f t="shared" si="4"/>
        <v>0</v>
      </c>
      <c r="J47" s="28"/>
      <c r="K47" s="71">
        <f t="shared" si="5"/>
        <v>0</v>
      </c>
      <c r="L47" s="71">
        <f t="shared" si="6"/>
        <v>0</v>
      </c>
    </row>
    <row r="48" spans="1:12" s="65" customFormat="1" ht="15.65" customHeight="1" x14ac:dyDescent="0.3">
      <c r="A48" s="57">
        <v>7</v>
      </c>
      <c r="B48" s="19" t="s">
        <v>103</v>
      </c>
      <c r="C48" s="19"/>
      <c r="D48" s="57" t="s">
        <v>8</v>
      </c>
      <c r="E48" s="71">
        <v>1204</v>
      </c>
      <c r="F48" s="189"/>
      <c r="G48" s="189">
        <f t="shared" si="0"/>
        <v>0</v>
      </c>
      <c r="H48" s="189"/>
      <c r="I48" s="71">
        <f t="shared" si="4"/>
        <v>0</v>
      </c>
      <c r="J48" s="71"/>
      <c r="K48" s="71">
        <f t="shared" si="5"/>
        <v>0</v>
      </c>
      <c r="L48" s="71">
        <f t="shared" si="6"/>
        <v>0</v>
      </c>
    </row>
    <row r="49" spans="1:13" s="65" customFormat="1" ht="13.5" x14ac:dyDescent="0.35">
      <c r="A49" s="57"/>
      <c r="B49" s="69" t="s">
        <v>29</v>
      </c>
      <c r="C49" s="69"/>
      <c r="D49" s="52" t="s">
        <v>13</v>
      </c>
      <c r="E49" s="71">
        <f>E48*0.9</f>
        <v>1083.6000000000001</v>
      </c>
      <c r="F49" s="189"/>
      <c r="G49" s="189">
        <f t="shared" si="0"/>
        <v>0</v>
      </c>
      <c r="H49" s="189"/>
      <c r="I49" s="71">
        <f t="shared" si="4"/>
        <v>0</v>
      </c>
      <c r="J49" s="71"/>
      <c r="K49" s="71">
        <f t="shared" si="5"/>
        <v>0</v>
      </c>
      <c r="L49" s="71">
        <f t="shared" si="6"/>
        <v>0</v>
      </c>
    </row>
    <row r="50" spans="1:13" s="65" customFormat="1" ht="100.5" customHeight="1" x14ac:dyDescent="0.35">
      <c r="A50" s="57"/>
      <c r="B50" s="115" t="s">
        <v>204</v>
      </c>
      <c r="C50" s="69"/>
      <c r="D50" s="52" t="s">
        <v>13</v>
      </c>
      <c r="E50" s="71">
        <f>E48*0.4</f>
        <v>481.6</v>
      </c>
      <c r="F50" s="189"/>
      <c r="G50" s="189">
        <f t="shared" si="0"/>
        <v>0</v>
      </c>
      <c r="H50" s="189"/>
      <c r="I50" s="71">
        <f t="shared" si="4"/>
        <v>0</v>
      </c>
      <c r="J50" s="71"/>
      <c r="K50" s="71">
        <f t="shared" si="5"/>
        <v>0</v>
      </c>
      <c r="L50" s="71">
        <f t="shared" si="6"/>
        <v>0</v>
      </c>
    </row>
    <row r="51" spans="1:13" s="65" customFormat="1" ht="24" customHeight="1" x14ac:dyDescent="0.3">
      <c r="A51" s="57"/>
      <c r="B51" s="20" t="s">
        <v>89</v>
      </c>
      <c r="C51" s="20"/>
      <c r="D51" s="52" t="s">
        <v>13</v>
      </c>
      <c r="E51" s="71">
        <f>E48*0.2</f>
        <v>240.8</v>
      </c>
      <c r="F51" s="189"/>
      <c r="G51" s="189">
        <f t="shared" si="0"/>
        <v>0</v>
      </c>
      <c r="H51" s="189"/>
      <c r="I51" s="71">
        <f t="shared" si="4"/>
        <v>0</v>
      </c>
      <c r="J51" s="71"/>
      <c r="K51" s="71">
        <f t="shared" si="5"/>
        <v>0</v>
      </c>
      <c r="L51" s="71">
        <f t="shared" si="6"/>
        <v>0</v>
      </c>
    </row>
    <row r="52" spans="1:13" s="65" customFormat="1" ht="24" customHeight="1" x14ac:dyDescent="0.35">
      <c r="A52" s="57"/>
      <c r="B52" s="69" t="s">
        <v>88</v>
      </c>
      <c r="C52" s="69"/>
      <c r="D52" s="52" t="s">
        <v>8</v>
      </c>
      <c r="E52" s="71">
        <f>0.009*E48</f>
        <v>10.835999999999999</v>
      </c>
      <c r="F52" s="189"/>
      <c r="G52" s="189">
        <f t="shared" si="0"/>
        <v>0</v>
      </c>
      <c r="H52" s="189"/>
      <c r="I52" s="71">
        <f t="shared" si="4"/>
        <v>0</v>
      </c>
      <c r="J52" s="71"/>
      <c r="K52" s="71">
        <f t="shared" si="5"/>
        <v>0</v>
      </c>
      <c r="L52" s="71">
        <f t="shared" si="6"/>
        <v>0</v>
      </c>
    </row>
    <row r="53" spans="1:13" s="65" customFormat="1" ht="21.75" customHeight="1" x14ac:dyDescent="0.35">
      <c r="A53" s="57"/>
      <c r="B53" s="69" t="s">
        <v>37</v>
      </c>
      <c r="C53" s="69"/>
      <c r="D53" s="52" t="s">
        <v>10</v>
      </c>
      <c r="E53" s="71">
        <v>900</v>
      </c>
      <c r="F53" s="189"/>
      <c r="G53" s="189">
        <f t="shared" si="0"/>
        <v>0</v>
      </c>
      <c r="H53" s="189"/>
      <c r="I53" s="71">
        <f t="shared" si="4"/>
        <v>0</v>
      </c>
      <c r="J53" s="71"/>
      <c r="K53" s="71">
        <f t="shared" si="5"/>
        <v>0</v>
      </c>
      <c r="L53" s="71">
        <f t="shared" si="6"/>
        <v>0</v>
      </c>
    </row>
    <row r="54" spans="1:13" s="65" customFormat="1" ht="24" customHeight="1" x14ac:dyDescent="0.35">
      <c r="A54" s="57"/>
      <c r="B54" s="69" t="s">
        <v>36</v>
      </c>
      <c r="C54" s="69"/>
      <c r="D54" s="52" t="s">
        <v>10</v>
      </c>
      <c r="E54" s="71">
        <v>120</v>
      </c>
      <c r="F54" s="189"/>
      <c r="G54" s="189">
        <f t="shared" si="0"/>
        <v>0</v>
      </c>
      <c r="H54" s="189"/>
      <c r="I54" s="71">
        <f t="shared" si="4"/>
        <v>0</v>
      </c>
      <c r="J54" s="71"/>
      <c r="K54" s="71">
        <f t="shared" si="5"/>
        <v>0</v>
      </c>
      <c r="L54" s="71">
        <f t="shared" si="6"/>
        <v>0</v>
      </c>
    </row>
    <row r="55" spans="1:13" s="65" customFormat="1" ht="23.25" customHeight="1" x14ac:dyDescent="0.35">
      <c r="A55" s="57"/>
      <c r="B55" s="69" t="s">
        <v>11</v>
      </c>
      <c r="C55" s="69"/>
      <c r="D55" s="52" t="s">
        <v>12</v>
      </c>
      <c r="E55" s="71">
        <f>E48*0.003</f>
        <v>3.6120000000000001</v>
      </c>
      <c r="F55" s="189"/>
      <c r="G55" s="189">
        <f t="shared" si="0"/>
        <v>0</v>
      </c>
      <c r="H55" s="189"/>
      <c r="I55" s="71">
        <f t="shared" si="4"/>
        <v>0</v>
      </c>
      <c r="J55" s="71"/>
      <c r="K55" s="71">
        <f t="shared" si="5"/>
        <v>0</v>
      </c>
      <c r="L55" s="71">
        <f t="shared" si="6"/>
        <v>0</v>
      </c>
    </row>
    <row r="56" spans="1:13" s="65" customFormat="1" ht="27" x14ac:dyDescent="0.35">
      <c r="A56" s="57">
        <v>8</v>
      </c>
      <c r="B56" s="100" t="s">
        <v>135</v>
      </c>
      <c r="C56" s="100"/>
      <c r="D56" s="52" t="s">
        <v>8</v>
      </c>
      <c r="E56" s="71">
        <v>35</v>
      </c>
      <c r="F56" s="189"/>
      <c r="G56" s="189">
        <f t="shared" si="0"/>
        <v>0</v>
      </c>
      <c r="H56" s="189"/>
      <c r="I56" s="71">
        <f t="shared" si="4"/>
        <v>0</v>
      </c>
      <c r="J56" s="71"/>
      <c r="K56" s="71">
        <f t="shared" si="5"/>
        <v>0</v>
      </c>
      <c r="L56" s="71">
        <f t="shared" si="6"/>
        <v>0</v>
      </c>
    </row>
    <row r="57" spans="1:13" s="65" customFormat="1" ht="27" customHeight="1" x14ac:dyDescent="0.35">
      <c r="A57" s="57"/>
      <c r="B57" s="99" t="s">
        <v>136</v>
      </c>
      <c r="C57" s="99"/>
      <c r="D57" s="52" t="s">
        <v>8</v>
      </c>
      <c r="E57" s="71">
        <f>E56*1.05</f>
        <v>36.75</v>
      </c>
      <c r="F57" s="189"/>
      <c r="G57" s="189">
        <f t="shared" si="0"/>
        <v>0</v>
      </c>
      <c r="H57" s="189"/>
      <c r="I57" s="71">
        <f t="shared" si="4"/>
        <v>0</v>
      </c>
      <c r="J57" s="71"/>
      <c r="K57" s="71">
        <f t="shared" si="5"/>
        <v>0</v>
      </c>
      <c r="L57" s="71">
        <f t="shared" si="6"/>
        <v>0</v>
      </c>
    </row>
    <row r="58" spans="1:13" s="65" customFormat="1" ht="26.25" customHeight="1" x14ac:dyDescent="0.35">
      <c r="A58" s="57"/>
      <c r="B58" s="99" t="s">
        <v>137</v>
      </c>
      <c r="C58" s="99"/>
      <c r="D58" s="52" t="s">
        <v>13</v>
      </c>
      <c r="E58" s="71">
        <f>E56*5.5</f>
        <v>192.5</v>
      </c>
      <c r="F58" s="189"/>
      <c r="G58" s="189">
        <f t="shared" si="0"/>
        <v>0</v>
      </c>
      <c r="H58" s="189"/>
      <c r="I58" s="71">
        <f t="shared" si="4"/>
        <v>0</v>
      </c>
      <c r="J58" s="71"/>
      <c r="K58" s="71">
        <f t="shared" si="5"/>
        <v>0</v>
      </c>
      <c r="L58" s="71">
        <f t="shared" si="6"/>
        <v>0</v>
      </c>
    </row>
    <row r="59" spans="1:13" s="65" customFormat="1" ht="29.25" customHeight="1" x14ac:dyDescent="0.35">
      <c r="A59" s="57"/>
      <c r="B59" s="99" t="s">
        <v>138</v>
      </c>
      <c r="C59" s="99"/>
      <c r="D59" s="52" t="s">
        <v>9</v>
      </c>
      <c r="E59" s="71">
        <f>E56*0.8</f>
        <v>28</v>
      </c>
      <c r="F59" s="189"/>
      <c r="G59" s="189">
        <f t="shared" si="0"/>
        <v>0</v>
      </c>
      <c r="H59" s="189"/>
      <c r="I59" s="71">
        <f t="shared" si="4"/>
        <v>0</v>
      </c>
      <c r="J59" s="71"/>
      <c r="K59" s="71">
        <f t="shared" si="5"/>
        <v>0</v>
      </c>
      <c r="L59" s="71">
        <f t="shared" si="6"/>
        <v>0</v>
      </c>
    </row>
    <row r="60" spans="1:13" s="65" customFormat="1" ht="37.5" customHeight="1" x14ac:dyDescent="0.35">
      <c r="A60" s="57"/>
      <c r="B60" s="69" t="s">
        <v>11</v>
      </c>
      <c r="C60" s="69"/>
      <c r="D60" s="52" t="s">
        <v>12</v>
      </c>
      <c r="E60" s="71">
        <f>E56*0.1</f>
        <v>3.5</v>
      </c>
      <c r="F60" s="189"/>
      <c r="G60" s="189">
        <f t="shared" si="0"/>
        <v>0</v>
      </c>
      <c r="H60" s="189"/>
      <c r="I60" s="71">
        <f t="shared" si="4"/>
        <v>0</v>
      </c>
      <c r="J60" s="71"/>
      <c r="K60" s="71">
        <f t="shared" si="5"/>
        <v>0</v>
      </c>
      <c r="L60" s="71">
        <f t="shared" si="6"/>
        <v>0</v>
      </c>
    </row>
    <row r="61" spans="1:13" s="65" customFormat="1" ht="75" customHeight="1" x14ac:dyDescent="0.3">
      <c r="A61" s="57">
        <v>9</v>
      </c>
      <c r="B61" s="127" t="s">
        <v>207</v>
      </c>
      <c r="C61" s="105"/>
      <c r="D61" s="55" t="s">
        <v>112</v>
      </c>
      <c r="E61" s="28">
        <v>1</v>
      </c>
      <c r="F61" s="193"/>
      <c r="G61" s="189">
        <f t="shared" si="0"/>
        <v>0</v>
      </c>
      <c r="H61" s="193"/>
      <c r="I61" s="71">
        <f t="shared" si="4"/>
        <v>0</v>
      </c>
      <c r="J61" s="28"/>
      <c r="K61" s="71">
        <f t="shared" si="5"/>
        <v>0</v>
      </c>
      <c r="L61" s="71">
        <f t="shared" si="6"/>
        <v>0</v>
      </c>
      <c r="M61" s="120"/>
    </row>
    <row r="62" spans="1:13" s="65" customFormat="1" ht="111" customHeight="1" x14ac:dyDescent="0.3">
      <c r="A62" s="57">
        <v>10</v>
      </c>
      <c r="B62" s="122" t="s">
        <v>173</v>
      </c>
      <c r="C62" s="122"/>
      <c r="D62" s="55" t="s">
        <v>9</v>
      </c>
      <c r="E62" s="28">
        <v>2</v>
      </c>
      <c r="F62" s="193"/>
      <c r="G62" s="189">
        <f t="shared" si="0"/>
        <v>0</v>
      </c>
      <c r="H62" s="193"/>
      <c r="I62" s="71">
        <f t="shared" si="4"/>
        <v>0</v>
      </c>
      <c r="J62" s="28"/>
      <c r="K62" s="71">
        <f t="shared" si="5"/>
        <v>0</v>
      </c>
      <c r="L62" s="71">
        <f t="shared" si="6"/>
        <v>0</v>
      </c>
      <c r="M62" s="121"/>
    </row>
    <row r="63" spans="1:13" s="65" customFormat="1" ht="73.5" customHeight="1" x14ac:dyDescent="0.3">
      <c r="A63" s="57">
        <v>10</v>
      </c>
      <c r="B63" s="122" t="s">
        <v>174</v>
      </c>
      <c r="C63" s="122"/>
      <c r="D63" s="55" t="s">
        <v>175</v>
      </c>
      <c r="E63" s="28">
        <v>6</v>
      </c>
      <c r="F63" s="193"/>
      <c r="G63" s="189">
        <f t="shared" ref="G63" si="7">F63*E63</f>
        <v>0</v>
      </c>
      <c r="H63" s="193"/>
      <c r="I63" s="71">
        <f t="shared" si="4"/>
        <v>0</v>
      </c>
      <c r="J63" s="28"/>
      <c r="K63" s="71">
        <f t="shared" si="5"/>
        <v>0</v>
      </c>
      <c r="L63" s="71">
        <f t="shared" si="6"/>
        <v>0</v>
      </c>
      <c r="M63" s="121"/>
    </row>
    <row r="64" spans="1:13" s="65" customFormat="1" ht="94.9" customHeight="1" x14ac:dyDescent="0.3">
      <c r="A64" s="57">
        <v>11</v>
      </c>
      <c r="B64" s="77" t="s">
        <v>105</v>
      </c>
      <c r="C64" s="77"/>
      <c r="D64" s="55" t="s">
        <v>9</v>
      </c>
      <c r="E64" s="28">
        <v>20</v>
      </c>
      <c r="F64" s="193"/>
      <c r="G64" s="189">
        <f t="shared" si="0"/>
        <v>0</v>
      </c>
      <c r="H64" s="193"/>
      <c r="I64" s="71">
        <f t="shared" si="4"/>
        <v>0</v>
      </c>
      <c r="J64" s="28"/>
      <c r="K64" s="71">
        <f t="shared" si="5"/>
        <v>0</v>
      </c>
      <c r="L64" s="71">
        <f t="shared" si="6"/>
        <v>0</v>
      </c>
    </row>
    <row r="65" spans="1:12" s="65" customFormat="1" ht="13.5" x14ac:dyDescent="0.3">
      <c r="A65" s="57">
        <v>12</v>
      </c>
      <c r="B65" s="77" t="s">
        <v>106</v>
      </c>
      <c r="C65" s="27"/>
      <c r="D65" s="55" t="s">
        <v>9</v>
      </c>
      <c r="E65" s="28">
        <v>30</v>
      </c>
      <c r="F65" s="193"/>
      <c r="G65" s="189">
        <f t="shared" si="0"/>
        <v>0</v>
      </c>
      <c r="H65" s="193"/>
      <c r="I65" s="71">
        <f t="shared" si="4"/>
        <v>0</v>
      </c>
      <c r="J65" s="28"/>
      <c r="K65" s="71">
        <f t="shared" si="5"/>
        <v>0</v>
      </c>
      <c r="L65" s="71">
        <f t="shared" si="6"/>
        <v>0</v>
      </c>
    </row>
    <row r="66" spans="1:12" s="65" customFormat="1" ht="40.5" x14ac:dyDescent="0.3">
      <c r="A66" s="57">
        <v>13</v>
      </c>
      <c r="B66" s="103" t="s">
        <v>107</v>
      </c>
      <c r="C66" s="125"/>
      <c r="D66" s="110" t="s">
        <v>108</v>
      </c>
      <c r="E66" s="89">
        <v>100</v>
      </c>
      <c r="F66" s="194"/>
      <c r="G66" s="189">
        <f t="shared" si="0"/>
        <v>0</v>
      </c>
      <c r="H66" s="194"/>
      <c r="I66" s="71">
        <f t="shared" si="4"/>
        <v>0</v>
      </c>
      <c r="J66" s="89"/>
      <c r="K66" s="71">
        <f t="shared" si="5"/>
        <v>0</v>
      </c>
      <c r="L66" s="71">
        <f t="shared" si="6"/>
        <v>0</v>
      </c>
    </row>
    <row r="67" spans="1:12" s="65" customFormat="1" ht="13.5" x14ac:dyDescent="0.3">
      <c r="A67" s="57">
        <v>14</v>
      </c>
      <c r="B67" s="103" t="s">
        <v>109</v>
      </c>
      <c r="C67" s="125"/>
      <c r="D67" s="110" t="s">
        <v>110</v>
      </c>
      <c r="E67" s="89">
        <v>150</v>
      </c>
      <c r="F67" s="194"/>
      <c r="G67" s="189">
        <f t="shared" si="0"/>
        <v>0</v>
      </c>
      <c r="H67" s="194"/>
      <c r="I67" s="71">
        <f t="shared" si="4"/>
        <v>0</v>
      </c>
      <c r="J67" s="89"/>
      <c r="K67" s="71">
        <f t="shared" si="5"/>
        <v>0</v>
      </c>
      <c r="L67" s="71">
        <f t="shared" si="6"/>
        <v>0</v>
      </c>
    </row>
    <row r="68" spans="1:12" s="65" customFormat="1" ht="13.5" x14ac:dyDescent="0.3">
      <c r="A68" s="57">
        <v>15</v>
      </c>
      <c r="B68" s="103" t="s">
        <v>111</v>
      </c>
      <c r="C68" s="103"/>
      <c r="D68" s="109" t="s">
        <v>112</v>
      </c>
      <c r="E68" s="89">
        <v>30</v>
      </c>
      <c r="F68" s="194"/>
      <c r="G68" s="189">
        <f t="shared" si="0"/>
        <v>0</v>
      </c>
      <c r="H68" s="194"/>
      <c r="I68" s="71">
        <f t="shared" si="4"/>
        <v>0</v>
      </c>
      <c r="J68" s="89"/>
      <c r="K68" s="71">
        <f t="shared" si="5"/>
        <v>0</v>
      </c>
      <c r="L68" s="71">
        <f t="shared" si="6"/>
        <v>0</v>
      </c>
    </row>
    <row r="69" spans="1:12" s="65" customFormat="1" ht="13.5" x14ac:dyDescent="0.3">
      <c r="A69" s="57">
        <v>16</v>
      </c>
      <c r="B69" s="103" t="s">
        <v>141</v>
      </c>
      <c r="C69" s="125"/>
      <c r="D69" s="110" t="s">
        <v>108</v>
      </c>
      <c r="E69" s="89">
        <v>250</v>
      </c>
      <c r="F69" s="194"/>
      <c r="G69" s="189">
        <f t="shared" si="0"/>
        <v>0</v>
      </c>
      <c r="H69" s="194"/>
      <c r="I69" s="71">
        <f t="shared" si="4"/>
        <v>0</v>
      </c>
      <c r="J69" s="89"/>
      <c r="K69" s="71">
        <f t="shared" si="5"/>
        <v>0</v>
      </c>
      <c r="L69" s="71">
        <f t="shared" si="6"/>
        <v>0</v>
      </c>
    </row>
    <row r="70" spans="1:12" s="65" customFormat="1" ht="13.5" x14ac:dyDescent="0.3">
      <c r="A70" s="57"/>
      <c r="B70" s="101" t="s">
        <v>11</v>
      </c>
      <c r="C70" s="101"/>
      <c r="D70" s="109" t="s">
        <v>12</v>
      </c>
      <c r="E70" s="89">
        <f>SUM(E59:E69)*0.1</f>
        <v>62.050000000000004</v>
      </c>
      <c r="F70" s="194"/>
      <c r="G70" s="189">
        <f t="shared" si="0"/>
        <v>0</v>
      </c>
      <c r="H70" s="194"/>
      <c r="I70" s="71">
        <f t="shared" si="4"/>
        <v>0</v>
      </c>
      <c r="J70" s="89"/>
      <c r="K70" s="71">
        <f t="shared" si="5"/>
        <v>0</v>
      </c>
      <c r="L70" s="71">
        <f t="shared" si="6"/>
        <v>0</v>
      </c>
    </row>
    <row r="71" spans="1:12" s="65" customFormat="1" ht="103.9" customHeight="1" x14ac:dyDescent="0.3">
      <c r="A71" s="57">
        <v>17</v>
      </c>
      <c r="B71" s="104" t="s">
        <v>142</v>
      </c>
      <c r="C71" s="104"/>
      <c r="D71" s="111" t="s">
        <v>9</v>
      </c>
      <c r="E71" s="90">
        <v>1</v>
      </c>
      <c r="F71" s="191"/>
      <c r="G71" s="189">
        <f t="shared" si="0"/>
        <v>0</v>
      </c>
      <c r="H71" s="191"/>
      <c r="I71" s="71">
        <f t="shared" si="4"/>
        <v>0</v>
      </c>
      <c r="J71" s="102"/>
      <c r="K71" s="71">
        <f t="shared" si="5"/>
        <v>0</v>
      </c>
      <c r="L71" s="71">
        <f t="shared" si="6"/>
        <v>0</v>
      </c>
    </row>
    <row r="72" spans="1:12" s="65" customFormat="1" ht="75" customHeight="1" x14ac:dyDescent="0.3">
      <c r="A72" s="57">
        <v>18</v>
      </c>
      <c r="B72" s="104" t="s">
        <v>143</v>
      </c>
      <c r="C72" s="104"/>
      <c r="D72" s="111" t="s">
        <v>9</v>
      </c>
      <c r="E72" s="90">
        <v>1</v>
      </c>
      <c r="F72" s="191"/>
      <c r="G72" s="189">
        <f t="shared" si="0"/>
        <v>0</v>
      </c>
      <c r="H72" s="191"/>
      <c r="I72" s="71">
        <f t="shared" ref="I72:I79" si="8">H72*E72</f>
        <v>0</v>
      </c>
      <c r="J72" s="102"/>
      <c r="K72" s="71">
        <f t="shared" ref="K72:K79" si="9">J72*E72</f>
        <v>0</v>
      </c>
      <c r="L72" s="71">
        <f t="shared" ref="L72:L79" si="10">K72+I72+G72</f>
        <v>0</v>
      </c>
    </row>
    <row r="73" spans="1:12" s="65" customFormat="1" ht="13.5" x14ac:dyDescent="0.3">
      <c r="A73" s="57">
        <v>19</v>
      </c>
      <c r="B73" s="104" t="s">
        <v>144</v>
      </c>
      <c r="C73" s="112"/>
      <c r="D73" s="113" t="s">
        <v>9</v>
      </c>
      <c r="E73" s="114">
        <v>1</v>
      </c>
      <c r="F73" s="194"/>
      <c r="G73" s="189">
        <f t="shared" si="0"/>
        <v>0</v>
      </c>
      <c r="H73" s="191"/>
      <c r="I73" s="71">
        <f t="shared" si="8"/>
        <v>0</v>
      </c>
      <c r="J73" s="102"/>
      <c r="K73" s="71">
        <f t="shared" si="9"/>
        <v>0</v>
      </c>
      <c r="L73" s="71">
        <f t="shared" si="10"/>
        <v>0</v>
      </c>
    </row>
    <row r="74" spans="1:12" s="65" customFormat="1" ht="27" x14ac:dyDescent="0.3">
      <c r="A74" s="57">
        <v>20</v>
      </c>
      <c r="B74" s="128" t="s">
        <v>158</v>
      </c>
      <c r="C74" s="106"/>
      <c r="D74" s="110" t="s">
        <v>112</v>
      </c>
      <c r="E74" s="89">
        <v>2</v>
      </c>
      <c r="F74" s="194"/>
      <c r="G74" s="189">
        <f t="shared" si="0"/>
        <v>0</v>
      </c>
      <c r="H74" s="194"/>
      <c r="I74" s="71">
        <f t="shared" si="8"/>
        <v>0</v>
      </c>
      <c r="J74" s="89"/>
      <c r="K74" s="71">
        <f t="shared" si="9"/>
        <v>0</v>
      </c>
      <c r="L74" s="71">
        <f t="shared" si="10"/>
        <v>0</v>
      </c>
    </row>
    <row r="75" spans="1:12" s="65" customFormat="1" ht="16.899999999999999" customHeight="1" x14ac:dyDescent="0.3">
      <c r="A75" s="57">
        <v>21</v>
      </c>
      <c r="B75" s="128"/>
      <c r="C75" s="106"/>
      <c r="D75" s="110" t="s">
        <v>113</v>
      </c>
      <c r="E75" s="89">
        <v>0</v>
      </c>
      <c r="F75" s="194"/>
      <c r="G75" s="189">
        <f t="shared" si="0"/>
        <v>0</v>
      </c>
      <c r="H75" s="194"/>
      <c r="I75" s="71">
        <f t="shared" si="8"/>
        <v>0</v>
      </c>
      <c r="J75" s="89"/>
      <c r="K75" s="71">
        <f t="shared" si="9"/>
        <v>0</v>
      </c>
      <c r="L75" s="71">
        <f t="shared" si="10"/>
        <v>0</v>
      </c>
    </row>
    <row r="76" spans="1:12" s="65" customFormat="1" ht="30.75" customHeight="1" x14ac:dyDescent="0.3">
      <c r="A76" s="57">
        <v>22</v>
      </c>
      <c r="B76" s="129"/>
      <c r="C76" s="107"/>
      <c r="D76" s="110" t="s">
        <v>112</v>
      </c>
      <c r="E76" s="89">
        <v>0</v>
      </c>
      <c r="F76" s="194"/>
      <c r="G76" s="189">
        <f t="shared" si="0"/>
        <v>0</v>
      </c>
      <c r="H76" s="194"/>
      <c r="I76" s="71">
        <f t="shared" si="8"/>
        <v>0</v>
      </c>
      <c r="J76" s="89"/>
      <c r="K76" s="71">
        <f t="shared" si="9"/>
        <v>0</v>
      </c>
      <c r="L76" s="71">
        <f t="shared" si="10"/>
        <v>0</v>
      </c>
    </row>
    <row r="77" spans="1:12" s="65" customFormat="1" ht="25.5" customHeight="1" x14ac:dyDescent="0.3">
      <c r="A77" s="57">
        <v>23</v>
      </c>
      <c r="B77" s="128"/>
      <c r="C77" s="106"/>
      <c r="D77" s="110" t="s">
        <v>113</v>
      </c>
      <c r="E77" s="89">
        <v>0</v>
      </c>
      <c r="F77" s="194"/>
      <c r="G77" s="189">
        <f t="shared" si="0"/>
        <v>0</v>
      </c>
      <c r="H77" s="194"/>
      <c r="I77" s="71">
        <f t="shared" si="8"/>
        <v>0</v>
      </c>
      <c r="J77" s="89"/>
      <c r="K77" s="71">
        <f t="shared" si="9"/>
        <v>0</v>
      </c>
      <c r="L77" s="71">
        <f t="shared" si="10"/>
        <v>0</v>
      </c>
    </row>
    <row r="78" spans="1:12" s="65" customFormat="1" ht="16.899999999999999" customHeight="1" x14ac:dyDescent="0.3">
      <c r="A78" s="57">
        <v>24</v>
      </c>
      <c r="B78" s="129" t="s">
        <v>148</v>
      </c>
      <c r="C78" s="107"/>
      <c r="D78" s="110" t="s">
        <v>149</v>
      </c>
      <c r="E78" s="89">
        <v>10</v>
      </c>
      <c r="F78" s="194"/>
      <c r="G78" s="189">
        <f t="shared" si="0"/>
        <v>0</v>
      </c>
      <c r="H78" s="194"/>
      <c r="I78" s="71">
        <f t="shared" si="8"/>
        <v>0</v>
      </c>
      <c r="J78" s="89"/>
      <c r="K78" s="71">
        <f t="shared" si="9"/>
        <v>0</v>
      </c>
      <c r="L78" s="71">
        <f t="shared" si="10"/>
        <v>0</v>
      </c>
    </row>
    <row r="79" spans="1:12" s="65" customFormat="1" ht="27" x14ac:dyDescent="0.3">
      <c r="A79" s="57">
        <v>25</v>
      </c>
      <c r="B79" s="27" t="s">
        <v>68</v>
      </c>
      <c r="C79" s="27"/>
      <c r="D79" s="52" t="s">
        <v>23</v>
      </c>
      <c r="E79" s="71">
        <v>4</v>
      </c>
      <c r="F79" s="189"/>
      <c r="G79" s="189">
        <f t="shared" si="0"/>
        <v>0</v>
      </c>
      <c r="H79" s="189"/>
      <c r="I79" s="71">
        <f t="shared" si="8"/>
        <v>0</v>
      </c>
      <c r="J79" s="71"/>
      <c r="K79" s="71">
        <f t="shared" si="9"/>
        <v>0</v>
      </c>
      <c r="L79" s="71">
        <f t="shared" si="10"/>
        <v>0</v>
      </c>
    </row>
    <row r="80" spans="1:12" s="65" customFormat="1" ht="16.149999999999999" customHeight="1" x14ac:dyDescent="0.3">
      <c r="A80" s="80"/>
      <c r="B80" s="9" t="s">
        <v>6</v>
      </c>
      <c r="C80" s="9"/>
      <c r="D80" s="52"/>
      <c r="E80" s="71"/>
      <c r="F80" s="189"/>
      <c r="G80" s="197">
        <f>SUM(G8:G79)</f>
        <v>0</v>
      </c>
      <c r="H80" s="197"/>
      <c r="I80" s="98">
        <f>SUM(I9:I79)</f>
        <v>0</v>
      </c>
      <c r="J80" s="98"/>
      <c r="K80" s="98">
        <f>SUM(K9:K79)</f>
        <v>0</v>
      </c>
      <c r="L80" s="98">
        <f>SUM(L8:L79)</f>
        <v>0</v>
      </c>
    </row>
    <row r="81" spans="1:12" s="96" customFormat="1" ht="16.149999999999999" customHeight="1" x14ac:dyDescent="0.35">
      <c r="A81" s="80"/>
      <c r="B81" s="97" t="s">
        <v>14</v>
      </c>
      <c r="C81" s="97"/>
      <c r="D81" s="59" t="s">
        <v>209</v>
      </c>
      <c r="E81" s="71"/>
      <c r="F81" s="198"/>
      <c r="G81" s="189"/>
      <c r="H81" s="189"/>
      <c r="I81" s="71"/>
      <c r="J81" s="71"/>
      <c r="K81" s="72"/>
      <c r="L81" s="71" t="e">
        <f>L80*D81</f>
        <v>#VALUE!</v>
      </c>
    </row>
    <row r="82" spans="1:12" s="96" customFormat="1" ht="16.149999999999999" customHeight="1" x14ac:dyDescent="0.35">
      <c r="A82" s="80"/>
      <c r="B82" s="97" t="s">
        <v>6</v>
      </c>
      <c r="C82" s="97"/>
      <c r="D82" s="52"/>
      <c r="E82" s="71"/>
      <c r="F82" s="198"/>
      <c r="G82" s="198"/>
      <c r="H82" s="189"/>
      <c r="I82" s="71"/>
      <c r="J82" s="71"/>
      <c r="K82" s="72"/>
      <c r="L82" s="71" t="e">
        <f>L81+L80</f>
        <v>#VALUE!</v>
      </c>
    </row>
    <row r="83" spans="1:12" s="96" customFormat="1" ht="16.149999999999999" customHeight="1" x14ac:dyDescent="0.35">
      <c r="A83" s="80"/>
      <c r="B83" s="97" t="s">
        <v>15</v>
      </c>
      <c r="C83" s="97"/>
      <c r="D83" s="59" t="s">
        <v>209</v>
      </c>
      <c r="E83" s="71"/>
      <c r="F83" s="198"/>
      <c r="G83" s="198"/>
      <c r="H83" s="189"/>
      <c r="I83" s="71"/>
      <c r="J83" s="71"/>
      <c r="K83" s="72"/>
      <c r="L83" s="71" t="e">
        <f>L82*D83</f>
        <v>#VALUE!</v>
      </c>
    </row>
    <row r="84" spans="1:12" s="96" customFormat="1" ht="10.5" customHeight="1" x14ac:dyDescent="0.35">
      <c r="A84" s="80"/>
      <c r="B84" s="97" t="s">
        <v>6</v>
      </c>
      <c r="C84" s="97"/>
      <c r="D84" s="52"/>
      <c r="E84" s="71"/>
      <c r="F84" s="198"/>
      <c r="G84" s="198"/>
      <c r="H84" s="189"/>
      <c r="I84" s="71"/>
      <c r="J84" s="71"/>
      <c r="K84" s="72"/>
      <c r="L84" s="71" t="e">
        <f>SUM(L82:L83)</f>
        <v>#VALUE!</v>
      </c>
    </row>
    <row r="85" spans="1:12" s="65" customFormat="1" ht="16.149999999999999" customHeight="1" x14ac:dyDescent="0.35">
      <c r="A85" s="81"/>
      <c r="B85" s="97" t="s">
        <v>16</v>
      </c>
      <c r="C85" s="97"/>
      <c r="D85" s="59" t="s">
        <v>209</v>
      </c>
      <c r="E85" s="71"/>
      <c r="F85" s="198"/>
      <c r="G85" s="198"/>
      <c r="H85" s="189"/>
      <c r="I85" s="71"/>
      <c r="J85" s="71"/>
      <c r="K85" s="72"/>
      <c r="L85" s="71" t="e">
        <f>L84*D85</f>
        <v>#VALUE!</v>
      </c>
    </row>
    <row r="86" spans="1:12" s="65" customFormat="1" ht="12" customHeight="1" x14ac:dyDescent="0.35">
      <c r="A86" s="81"/>
      <c r="B86" s="97" t="s">
        <v>6</v>
      </c>
      <c r="C86" s="97"/>
      <c r="D86" s="52"/>
      <c r="E86" s="71"/>
      <c r="F86" s="198"/>
      <c r="G86" s="198"/>
      <c r="H86" s="189"/>
      <c r="I86" s="71"/>
      <c r="J86" s="71"/>
      <c r="K86" s="72"/>
      <c r="L86" s="71" t="e">
        <f>SUM(L84:L85)</f>
        <v>#VALUE!</v>
      </c>
    </row>
    <row r="87" spans="1:12" s="65" customFormat="1" ht="16.149999999999999" customHeight="1" x14ac:dyDescent="0.35">
      <c r="A87" s="80"/>
      <c r="B87" s="97" t="s">
        <v>19</v>
      </c>
      <c r="C87" s="97"/>
      <c r="D87" s="59" t="s">
        <v>209</v>
      </c>
      <c r="E87" s="71"/>
      <c r="F87" s="198"/>
      <c r="G87" s="198"/>
      <c r="H87" s="189"/>
      <c r="I87" s="71"/>
      <c r="J87" s="71"/>
      <c r="K87" s="72"/>
      <c r="L87" s="71" t="e">
        <f>L86*D87</f>
        <v>#VALUE!</v>
      </c>
    </row>
    <row r="88" spans="1:12" s="65" customFormat="1" ht="13.5" customHeight="1" x14ac:dyDescent="0.35">
      <c r="A88" s="82"/>
      <c r="B88" s="97" t="s">
        <v>28</v>
      </c>
      <c r="C88" s="97"/>
      <c r="D88" s="59">
        <v>0.02</v>
      </c>
      <c r="E88" s="71"/>
      <c r="F88" s="198"/>
      <c r="G88" s="198"/>
      <c r="H88" s="189"/>
      <c r="I88" s="71"/>
      <c r="J88" s="71"/>
      <c r="K88" s="72"/>
      <c r="L88" s="71">
        <f>I80*D88</f>
        <v>0</v>
      </c>
    </row>
    <row r="89" spans="1:12" s="65" customFormat="1" ht="9" customHeight="1" x14ac:dyDescent="0.35">
      <c r="A89" s="83"/>
      <c r="B89" s="97" t="s">
        <v>6</v>
      </c>
      <c r="C89" s="97"/>
      <c r="D89" s="52"/>
      <c r="E89" s="71"/>
      <c r="F89" s="198"/>
      <c r="G89" s="198"/>
      <c r="H89" s="189"/>
      <c r="I89" s="71"/>
      <c r="J89" s="71"/>
      <c r="K89" s="72"/>
      <c r="L89" s="71" t="e">
        <f>L88+L87+L86</f>
        <v>#VALUE!</v>
      </c>
    </row>
    <row r="90" spans="1:12" s="65" customFormat="1" ht="16.149999999999999" customHeight="1" x14ac:dyDescent="0.3">
      <c r="A90" s="83"/>
      <c r="B90" s="9" t="s">
        <v>17</v>
      </c>
      <c r="C90" s="9"/>
      <c r="D90" s="59">
        <v>0.18</v>
      </c>
      <c r="E90" s="71"/>
      <c r="F90" s="198"/>
      <c r="G90" s="198"/>
      <c r="H90" s="198"/>
      <c r="I90" s="72"/>
      <c r="J90" s="72"/>
      <c r="K90" s="72"/>
      <c r="L90" s="71" t="e">
        <f>L89*D90</f>
        <v>#VALUE!</v>
      </c>
    </row>
    <row r="91" spans="1:12" s="65" customFormat="1" ht="16.149999999999999" customHeight="1" x14ac:dyDescent="0.35">
      <c r="A91" s="83"/>
      <c r="B91" s="70" t="s">
        <v>18</v>
      </c>
      <c r="C91" s="70"/>
      <c r="D91" s="60"/>
      <c r="E91" s="72"/>
      <c r="F91" s="198"/>
      <c r="G91" s="198"/>
      <c r="H91" s="198"/>
      <c r="I91" s="72"/>
      <c r="J91" s="72"/>
      <c r="K91" s="72"/>
      <c r="L91" s="73" t="e">
        <f>L90+L89</f>
        <v>#VALUE!</v>
      </c>
    </row>
  </sheetData>
  <autoFilter ref="A6:N91" xr:uid="{6331E066-880F-4415-B251-13EF087F8131}"/>
  <mergeCells count="10">
    <mergeCell ref="J4:K4"/>
    <mergeCell ref="L4:L5"/>
    <mergeCell ref="A1:L1"/>
    <mergeCell ref="F3:I3"/>
    <mergeCell ref="A4:A5"/>
    <mergeCell ref="B4:B5"/>
    <mergeCell ref="D4:D5"/>
    <mergeCell ref="E4:E5"/>
    <mergeCell ref="F4:G4"/>
    <mergeCell ref="H4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3C109-E283-464A-B1C9-C5E15F065157}">
  <dimension ref="A1:P100"/>
  <sheetViews>
    <sheetView tabSelected="1" zoomScale="85" zoomScaleNormal="85" workbookViewId="0">
      <pane xSplit="4" ySplit="6" topLeftCell="E83" activePane="bottomRight" state="frozen"/>
      <selection pane="topRight" activeCell="E1" sqref="E1"/>
      <selection pane="bottomLeft" activeCell="A7" sqref="A7"/>
      <selection pane="bottomRight" activeCell="E89" sqref="E89:F100"/>
    </sheetView>
  </sheetViews>
  <sheetFormatPr defaultColWidth="9.08984375" defaultRowHeight="12" x14ac:dyDescent="0.3"/>
  <cols>
    <col min="1" max="1" width="3.36328125" style="67" customWidth="1"/>
    <col min="2" max="2" width="54.6328125" style="42" customWidth="1"/>
    <col min="3" max="3" width="74.08984375" style="42" hidden="1" customWidth="1"/>
    <col min="4" max="4" width="6" style="67" customWidth="1"/>
    <col min="5" max="5" width="9.7265625" style="42" customWidth="1"/>
    <col min="6" max="6" width="9.36328125" style="199" customWidth="1"/>
    <col min="7" max="7" width="12.6328125" style="199" customWidth="1"/>
    <col min="8" max="8" width="7.6328125" style="199" customWidth="1"/>
    <col min="9" max="9" width="12.36328125" style="42" customWidth="1"/>
    <col min="10" max="10" width="7.7265625" style="42" customWidth="1"/>
    <col min="11" max="11" width="9.08984375" style="42"/>
    <col min="12" max="12" width="11.7265625" style="42" customWidth="1"/>
    <col min="13" max="13" width="20.6328125" style="42" customWidth="1"/>
    <col min="14" max="14" width="11.08984375" style="42" customWidth="1"/>
    <col min="15" max="16384" width="9.08984375" style="42"/>
  </cols>
  <sheetData>
    <row r="1" spans="1:12" ht="19.899999999999999" customHeight="1" x14ac:dyDescent="0.3">
      <c r="A1" s="170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2"/>
    </row>
    <row r="2" spans="1:12" ht="19.149999999999999" customHeight="1" x14ac:dyDescent="0.3">
      <c r="A2" s="78"/>
      <c r="B2" s="173" t="s">
        <v>177</v>
      </c>
      <c r="C2" s="173"/>
      <c r="D2" s="173"/>
      <c r="E2" s="173"/>
      <c r="F2" s="173"/>
      <c r="G2" s="173"/>
      <c r="H2" s="173"/>
      <c r="I2" s="173"/>
      <c r="J2" s="173"/>
      <c r="K2" s="173"/>
      <c r="L2" s="174"/>
    </row>
    <row r="3" spans="1:12" ht="18" customHeight="1" x14ac:dyDescent="0.3">
      <c r="A3" s="79"/>
      <c r="B3" s="108" t="s">
        <v>187</v>
      </c>
      <c r="C3" s="108"/>
      <c r="D3" s="75"/>
      <c r="E3" s="76"/>
      <c r="F3" s="154" t="s">
        <v>22</v>
      </c>
      <c r="G3" s="154"/>
      <c r="H3" s="154"/>
      <c r="I3" s="154"/>
      <c r="J3" s="158" t="e">
        <f>L100</f>
        <v>#VALUE!</v>
      </c>
      <c r="K3" s="158"/>
      <c r="L3" s="159"/>
    </row>
    <row r="4" spans="1:12" ht="15" customHeight="1" x14ac:dyDescent="0.3">
      <c r="A4" s="162" t="s">
        <v>26</v>
      </c>
      <c r="B4" s="164" t="s">
        <v>0</v>
      </c>
      <c r="C4" s="123"/>
      <c r="D4" s="162" t="s">
        <v>1</v>
      </c>
      <c r="E4" s="166" t="s">
        <v>2</v>
      </c>
      <c r="F4" s="184" t="s">
        <v>3</v>
      </c>
      <c r="G4" s="185"/>
      <c r="H4" s="168" t="s">
        <v>4</v>
      </c>
      <c r="I4" s="169"/>
      <c r="J4" s="160" t="s">
        <v>5</v>
      </c>
      <c r="K4" s="161"/>
      <c r="L4" s="162" t="s">
        <v>6</v>
      </c>
    </row>
    <row r="5" spans="1:12" ht="17.25" customHeight="1" x14ac:dyDescent="0.3">
      <c r="A5" s="163"/>
      <c r="B5" s="165"/>
      <c r="C5" s="124"/>
      <c r="D5" s="163"/>
      <c r="E5" s="167"/>
      <c r="F5" s="186" t="s">
        <v>7</v>
      </c>
      <c r="G5" s="186" t="s">
        <v>6</v>
      </c>
      <c r="H5" s="186" t="s">
        <v>7</v>
      </c>
      <c r="I5" s="52" t="s">
        <v>6</v>
      </c>
      <c r="J5" s="52" t="s">
        <v>7</v>
      </c>
      <c r="K5" s="52" t="s">
        <v>6</v>
      </c>
      <c r="L5" s="163"/>
    </row>
    <row r="6" spans="1:12" ht="12.5" x14ac:dyDescent="0.35">
      <c r="A6" s="53">
        <v>1</v>
      </c>
      <c r="B6" s="34">
        <v>2</v>
      </c>
      <c r="C6" s="34"/>
      <c r="D6" s="54">
        <v>3</v>
      </c>
      <c r="E6" s="34">
        <v>4</v>
      </c>
      <c r="F6" s="187">
        <v>5</v>
      </c>
      <c r="G6" s="187">
        <v>6</v>
      </c>
      <c r="H6" s="187">
        <v>7</v>
      </c>
      <c r="I6" s="34">
        <v>8</v>
      </c>
      <c r="J6" s="34">
        <v>9</v>
      </c>
      <c r="K6" s="34">
        <v>10</v>
      </c>
      <c r="L6" s="34">
        <v>11</v>
      </c>
    </row>
    <row r="7" spans="1:12" ht="13.5" x14ac:dyDescent="0.3">
      <c r="A7" s="53"/>
      <c r="B7" s="10" t="s">
        <v>86</v>
      </c>
      <c r="C7" s="10"/>
      <c r="D7" s="58"/>
      <c r="E7" s="47"/>
      <c r="F7" s="188"/>
      <c r="G7" s="188"/>
      <c r="H7" s="188"/>
      <c r="I7" s="47"/>
      <c r="J7" s="47"/>
      <c r="K7" s="47"/>
      <c r="L7" s="47"/>
    </row>
    <row r="8" spans="1:12" s="65" customFormat="1" ht="17.5" customHeight="1" x14ac:dyDescent="0.3">
      <c r="A8" s="57">
        <v>1</v>
      </c>
      <c r="B8" s="20" t="s">
        <v>122</v>
      </c>
      <c r="C8" s="20"/>
      <c r="D8" s="52" t="s">
        <v>73</v>
      </c>
      <c r="E8" s="71">
        <v>2</v>
      </c>
      <c r="F8" s="189"/>
      <c r="G8" s="189">
        <f t="shared" ref="G8:G88" si="0">F8*E8</f>
        <v>0</v>
      </c>
      <c r="H8" s="189"/>
      <c r="I8" s="71">
        <f t="shared" ref="I8:I39" si="1">H8*E8</f>
        <v>0</v>
      </c>
      <c r="J8" s="71"/>
      <c r="K8" s="71">
        <f t="shared" ref="K8:K39" si="2">J8*E8</f>
        <v>0</v>
      </c>
      <c r="L8" s="71">
        <f t="shared" ref="L8:L39" si="3">K8+I8+G8</f>
        <v>0</v>
      </c>
    </row>
    <row r="9" spans="1:12" s="65" customFormat="1" ht="17.5" customHeight="1" x14ac:dyDescent="0.3">
      <c r="A9" s="57">
        <v>2</v>
      </c>
      <c r="B9" s="20" t="s">
        <v>178</v>
      </c>
      <c r="C9" s="20"/>
      <c r="D9" s="52" t="s">
        <v>73</v>
      </c>
      <c r="E9" s="71">
        <v>40</v>
      </c>
      <c r="F9" s="189"/>
      <c r="G9" s="189">
        <f t="shared" si="0"/>
        <v>0</v>
      </c>
      <c r="H9" s="189"/>
      <c r="I9" s="71">
        <f t="shared" si="1"/>
        <v>0</v>
      </c>
      <c r="J9" s="71"/>
      <c r="K9" s="71">
        <f t="shared" si="2"/>
        <v>0</v>
      </c>
      <c r="L9" s="71">
        <f t="shared" si="3"/>
        <v>0</v>
      </c>
    </row>
    <row r="10" spans="1:12" s="65" customFormat="1" ht="17.5" customHeight="1" x14ac:dyDescent="0.3">
      <c r="A10" s="57">
        <v>3</v>
      </c>
      <c r="B10" s="20" t="s">
        <v>90</v>
      </c>
      <c r="C10" s="20"/>
      <c r="D10" s="52" t="s">
        <v>73</v>
      </c>
      <c r="E10" s="71">
        <v>132</v>
      </c>
      <c r="F10" s="189"/>
      <c r="G10" s="189">
        <f t="shared" si="0"/>
        <v>0</v>
      </c>
      <c r="H10" s="189"/>
      <c r="I10" s="71">
        <f t="shared" si="1"/>
        <v>0</v>
      </c>
      <c r="J10" s="71"/>
      <c r="K10" s="71">
        <f t="shared" si="2"/>
        <v>0</v>
      </c>
      <c r="L10" s="71">
        <f t="shared" si="3"/>
        <v>0</v>
      </c>
    </row>
    <row r="11" spans="1:12" s="65" customFormat="1" ht="17.5" customHeight="1" x14ac:dyDescent="0.3">
      <c r="A11" s="57">
        <v>4</v>
      </c>
      <c r="B11" s="20" t="s">
        <v>85</v>
      </c>
      <c r="C11" s="20"/>
      <c r="D11" s="52" t="s">
        <v>9</v>
      </c>
      <c r="E11" s="71">
        <v>5</v>
      </c>
      <c r="F11" s="189"/>
      <c r="G11" s="189">
        <f t="shared" si="0"/>
        <v>0</v>
      </c>
      <c r="H11" s="189"/>
      <c r="I11" s="71">
        <f t="shared" si="1"/>
        <v>0</v>
      </c>
      <c r="J11" s="71"/>
      <c r="K11" s="71">
        <f t="shared" si="2"/>
        <v>0</v>
      </c>
      <c r="L11" s="71">
        <f t="shared" si="3"/>
        <v>0</v>
      </c>
    </row>
    <row r="12" spans="1:12" s="65" customFormat="1" ht="17.5" customHeight="1" x14ac:dyDescent="0.3">
      <c r="A12" s="57">
        <v>5</v>
      </c>
      <c r="B12" s="20"/>
      <c r="C12" s="20"/>
      <c r="D12" s="52" t="s">
        <v>73</v>
      </c>
      <c r="E12" s="71"/>
      <c r="F12" s="189"/>
      <c r="G12" s="189">
        <f t="shared" si="0"/>
        <v>0</v>
      </c>
      <c r="H12" s="189"/>
      <c r="I12" s="71">
        <f t="shared" si="1"/>
        <v>0</v>
      </c>
      <c r="J12" s="71"/>
      <c r="K12" s="71">
        <f t="shared" si="2"/>
        <v>0</v>
      </c>
      <c r="L12" s="71">
        <f t="shared" si="3"/>
        <v>0</v>
      </c>
    </row>
    <row r="13" spans="1:12" s="65" customFormat="1" ht="17.5" customHeight="1" x14ac:dyDescent="0.3">
      <c r="A13" s="57">
        <v>6</v>
      </c>
      <c r="B13" s="20" t="s">
        <v>179</v>
      </c>
      <c r="C13" s="20"/>
      <c r="D13" s="52" t="s">
        <v>73</v>
      </c>
      <c r="E13" s="71">
        <v>64</v>
      </c>
      <c r="F13" s="189"/>
      <c r="G13" s="189">
        <f t="shared" si="0"/>
        <v>0</v>
      </c>
      <c r="H13" s="189"/>
      <c r="I13" s="71">
        <f t="shared" si="1"/>
        <v>0</v>
      </c>
      <c r="J13" s="71"/>
      <c r="K13" s="71">
        <f t="shared" si="2"/>
        <v>0</v>
      </c>
      <c r="L13" s="71">
        <f t="shared" si="3"/>
        <v>0</v>
      </c>
    </row>
    <row r="14" spans="1:12" s="65" customFormat="1" ht="17.5" customHeight="1" x14ac:dyDescent="0.3">
      <c r="A14" s="57">
        <v>7</v>
      </c>
      <c r="B14" s="20" t="s">
        <v>180</v>
      </c>
      <c r="C14" s="20"/>
      <c r="D14" s="52" t="s">
        <v>23</v>
      </c>
      <c r="E14" s="71">
        <v>4</v>
      </c>
      <c r="F14" s="189"/>
      <c r="G14" s="189">
        <f t="shared" si="0"/>
        <v>0</v>
      </c>
      <c r="H14" s="189"/>
      <c r="I14" s="71">
        <f t="shared" si="1"/>
        <v>0</v>
      </c>
      <c r="J14" s="71"/>
      <c r="K14" s="71">
        <f t="shared" si="2"/>
        <v>0</v>
      </c>
      <c r="L14" s="71">
        <f t="shared" si="3"/>
        <v>0</v>
      </c>
    </row>
    <row r="15" spans="1:12" s="65" customFormat="1" ht="33" customHeight="1" x14ac:dyDescent="0.3">
      <c r="A15" s="57">
        <v>8</v>
      </c>
      <c r="B15" s="9" t="s">
        <v>68</v>
      </c>
      <c r="C15" s="9"/>
      <c r="D15" s="52" t="s">
        <v>23</v>
      </c>
      <c r="E15" s="71">
        <v>4</v>
      </c>
      <c r="F15" s="189"/>
      <c r="G15" s="189">
        <f t="shared" si="0"/>
        <v>0</v>
      </c>
      <c r="H15" s="189"/>
      <c r="I15" s="71">
        <f t="shared" si="1"/>
        <v>0</v>
      </c>
      <c r="J15" s="71"/>
      <c r="K15" s="71">
        <f t="shared" si="2"/>
        <v>0</v>
      </c>
      <c r="L15" s="71">
        <f t="shared" si="3"/>
        <v>0</v>
      </c>
    </row>
    <row r="16" spans="1:12" s="65" customFormat="1" ht="13.5" x14ac:dyDescent="0.3">
      <c r="A16" s="57"/>
      <c r="B16" s="68" t="s">
        <v>87</v>
      </c>
      <c r="C16" s="68"/>
      <c r="D16" s="52"/>
      <c r="E16" s="71"/>
      <c r="F16" s="189"/>
      <c r="G16" s="189">
        <f t="shared" si="0"/>
        <v>0</v>
      </c>
      <c r="H16" s="189"/>
      <c r="I16" s="71">
        <f t="shared" si="1"/>
        <v>0</v>
      </c>
      <c r="J16" s="71"/>
      <c r="K16" s="71">
        <f t="shared" si="2"/>
        <v>0</v>
      </c>
      <c r="L16" s="71">
        <f t="shared" si="3"/>
        <v>0</v>
      </c>
    </row>
    <row r="17" spans="1:12" s="65" customFormat="1" ht="24.65" customHeight="1" x14ac:dyDescent="0.35">
      <c r="A17" s="57">
        <v>1</v>
      </c>
      <c r="B17" s="85" t="s">
        <v>118</v>
      </c>
      <c r="C17" s="85"/>
      <c r="D17" s="111" t="s">
        <v>8</v>
      </c>
      <c r="E17" s="90">
        <v>64</v>
      </c>
      <c r="F17" s="190"/>
      <c r="G17" s="189">
        <f t="shared" si="0"/>
        <v>0</v>
      </c>
      <c r="H17" s="191"/>
      <c r="I17" s="71">
        <f t="shared" si="1"/>
        <v>0</v>
      </c>
      <c r="J17" s="16"/>
      <c r="K17" s="71">
        <f t="shared" si="2"/>
        <v>0</v>
      </c>
      <c r="L17" s="71">
        <f t="shared" si="3"/>
        <v>0</v>
      </c>
    </row>
    <row r="18" spans="1:12" s="65" customFormat="1" ht="13.5" x14ac:dyDescent="0.3">
      <c r="A18" s="57"/>
      <c r="B18" s="87" t="s">
        <v>96</v>
      </c>
      <c r="C18" s="87"/>
      <c r="D18" s="52" t="s">
        <v>92</v>
      </c>
      <c r="E18" s="16">
        <v>3.5</v>
      </c>
      <c r="F18" s="191"/>
      <c r="G18" s="189">
        <f t="shared" si="0"/>
        <v>0</v>
      </c>
      <c r="H18" s="191"/>
      <c r="I18" s="71">
        <f t="shared" si="1"/>
        <v>0</v>
      </c>
      <c r="J18" s="16"/>
      <c r="K18" s="71">
        <f t="shared" si="2"/>
        <v>0</v>
      </c>
      <c r="L18" s="71">
        <f t="shared" si="3"/>
        <v>0</v>
      </c>
    </row>
    <row r="19" spans="1:12" s="65" customFormat="1" ht="13.5" x14ac:dyDescent="0.3">
      <c r="A19" s="57"/>
      <c r="B19" s="87" t="s">
        <v>97</v>
      </c>
      <c r="C19" s="87"/>
      <c r="D19" s="52" t="s">
        <v>93</v>
      </c>
      <c r="E19" s="16">
        <v>1</v>
      </c>
      <c r="F19" s="191"/>
      <c r="G19" s="189">
        <f t="shared" si="0"/>
        <v>0</v>
      </c>
      <c r="H19" s="191"/>
      <c r="I19" s="71">
        <f t="shared" si="1"/>
        <v>0</v>
      </c>
      <c r="J19" s="16"/>
      <c r="K19" s="71">
        <f t="shared" si="2"/>
        <v>0</v>
      </c>
      <c r="L19" s="71">
        <f t="shared" si="3"/>
        <v>0</v>
      </c>
    </row>
    <row r="20" spans="1:12" s="65" customFormat="1" ht="13.5" x14ac:dyDescent="0.3">
      <c r="A20" s="57"/>
      <c r="B20" s="87"/>
      <c r="C20" s="87"/>
      <c r="D20" s="52" t="s">
        <v>10</v>
      </c>
      <c r="E20" s="16"/>
      <c r="F20" s="191"/>
      <c r="G20" s="189">
        <f t="shared" si="0"/>
        <v>0</v>
      </c>
      <c r="H20" s="191"/>
      <c r="I20" s="71">
        <f t="shared" si="1"/>
        <v>0</v>
      </c>
      <c r="J20" s="16"/>
      <c r="K20" s="71">
        <f t="shared" si="2"/>
        <v>0</v>
      </c>
      <c r="L20" s="71">
        <f t="shared" si="3"/>
        <v>0</v>
      </c>
    </row>
    <row r="21" spans="1:12" s="65" customFormat="1" ht="13.5" x14ac:dyDescent="0.3">
      <c r="A21" s="57"/>
      <c r="B21" s="88" t="s">
        <v>11</v>
      </c>
      <c r="C21" s="88"/>
      <c r="D21" s="52" t="s">
        <v>12</v>
      </c>
      <c r="E21" s="16">
        <f>E17*0.2</f>
        <v>12.8</v>
      </c>
      <c r="F21" s="191"/>
      <c r="G21" s="189">
        <f t="shared" si="0"/>
        <v>0</v>
      </c>
      <c r="H21" s="191"/>
      <c r="I21" s="71">
        <f t="shared" si="1"/>
        <v>0</v>
      </c>
      <c r="J21" s="16"/>
      <c r="K21" s="71">
        <f t="shared" si="2"/>
        <v>0</v>
      </c>
      <c r="L21" s="71">
        <f t="shared" si="3"/>
        <v>0</v>
      </c>
    </row>
    <row r="22" spans="1:12" s="65" customFormat="1" ht="14.5" x14ac:dyDescent="0.35">
      <c r="A22" s="57">
        <v>2</v>
      </c>
      <c r="B22" s="91" t="s">
        <v>156</v>
      </c>
      <c r="C22" s="91"/>
      <c r="D22" s="111" t="s">
        <v>116</v>
      </c>
      <c r="E22" s="90">
        <v>113</v>
      </c>
      <c r="F22" s="192"/>
      <c r="G22" s="189">
        <f t="shared" si="0"/>
        <v>0</v>
      </c>
      <c r="H22" s="193"/>
      <c r="I22" s="71">
        <f t="shared" si="1"/>
        <v>0</v>
      </c>
      <c r="J22" s="28"/>
      <c r="K22" s="71">
        <f t="shared" si="2"/>
        <v>0</v>
      </c>
      <c r="L22" s="71">
        <f t="shared" si="3"/>
        <v>0</v>
      </c>
    </row>
    <row r="23" spans="1:12" s="65" customFormat="1" ht="83.5" customHeight="1" x14ac:dyDescent="0.3">
      <c r="A23" s="57"/>
      <c r="B23" s="72" t="s">
        <v>181</v>
      </c>
      <c r="C23" s="29"/>
      <c r="D23" s="55" t="s">
        <v>146</v>
      </c>
      <c r="E23" s="28">
        <v>3.5</v>
      </c>
      <c r="F23" s="193"/>
      <c r="G23" s="189">
        <f t="shared" si="0"/>
        <v>0</v>
      </c>
      <c r="H23" s="193"/>
      <c r="I23" s="71">
        <f t="shared" si="1"/>
        <v>0</v>
      </c>
      <c r="J23" s="28"/>
      <c r="K23" s="71">
        <f t="shared" si="2"/>
        <v>0</v>
      </c>
      <c r="L23" s="71">
        <f t="shared" si="3"/>
        <v>0</v>
      </c>
    </row>
    <row r="24" spans="1:12" s="65" customFormat="1" ht="13.5" x14ac:dyDescent="0.3">
      <c r="A24" s="57"/>
      <c r="B24" s="30"/>
      <c r="C24" s="30"/>
      <c r="D24" s="55" t="s">
        <v>13</v>
      </c>
      <c r="E24" s="28"/>
      <c r="F24" s="193"/>
      <c r="G24" s="189">
        <f t="shared" si="0"/>
        <v>0</v>
      </c>
      <c r="H24" s="193"/>
      <c r="I24" s="71">
        <f t="shared" si="1"/>
        <v>0</v>
      </c>
      <c r="J24" s="28"/>
      <c r="K24" s="71">
        <f t="shared" si="2"/>
        <v>0</v>
      </c>
      <c r="L24" s="71">
        <f t="shared" si="3"/>
        <v>0</v>
      </c>
    </row>
    <row r="25" spans="1:12" s="65" customFormat="1" ht="13.5" x14ac:dyDescent="0.35">
      <c r="A25" s="57"/>
      <c r="B25" s="92"/>
      <c r="C25" s="92"/>
      <c r="D25" s="55" t="s">
        <v>12</v>
      </c>
      <c r="E25" s="28">
        <f>E22*0.03</f>
        <v>3.3899999999999997</v>
      </c>
      <c r="F25" s="193"/>
      <c r="G25" s="189">
        <f t="shared" si="0"/>
        <v>0</v>
      </c>
      <c r="H25" s="193"/>
      <c r="I25" s="71">
        <f t="shared" si="1"/>
        <v>0</v>
      </c>
      <c r="J25" s="28"/>
      <c r="K25" s="71">
        <f t="shared" si="2"/>
        <v>0</v>
      </c>
      <c r="L25" s="71">
        <f t="shared" si="3"/>
        <v>0</v>
      </c>
    </row>
    <row r="26" spans="1:12" s="65" customFormat="1" ht="14.5" x14ac:dyDescent="0.35">
      <c r="A26" s="57">
        <v>3</v>
      </c>
      <c r="B26" s="85" t="s">
        <v>182</v>
      </c>
      <c r="C26" s="85"/>
      <c r="D26" s="111" t="s">
        <v>8</v>
      </c>
      <c r="E26" s="90">
        <v>56</v>
      </c>
      <c r="F26" s="192"/>
      <c r="G26" s="189">
        <f t="shared" si="0"/>
        <v>0</v>
      </c>
      <c r="H26" s="191"/>
      <c r="I26" s="71">
        <f t="shared" si="1"/>
        <v>0</v>
      </c>
      <c r="J26" s="16"/>
      <c r="K26" s="71">
        <f t="shared" si="2"/>
        <v>0</v>
      </c>
      <c r="L26" s="71">
        <f t="shared" si="3"/>
        <v>0</v>
      </c>
    </row>
    <row r="27" spans="1:12" s="65" customFormat="1" ht="118.15" customHeight="1" x14ac:dyDescent="0.3">
      <c r="A27" s="57"/>
      <c r="B27" s="130" t="s">
        <v>183</v>
      </c>
      <c r="C27" s="86"/>
      <c r="D27" s="52" t="s">
        <v>112</v>
      </c>
      <c r="E27" s="89">
        <v>5</v>
      </c>
      <c r="F27" s="194"/>
      <c r="G27" s="189">
        <f t="shared" si="0"/>
        <v>0</v>
      </c>
      <c r="H27" s="194"/>
      <c r="I27" s="71">
        <f t="shared" si="1"/>
        <v>0</v>
      </c>
      <c r="J27" s="89"/>
      <c r="K27" s="71">
        <f t="shared" si="2"/>
        <v>0</v>
      </c>
      <c r="L27" s="71">
        <f t="shared" si="3"/>
        <v>0</v>
      </c>
    </row>
    <row r="28" spans="1:12" s="65" customFormat="1" ht="118.15" customHeight="1" x14ac:dyDescent="0.3">
      <c r="A28" s="57"/>
      <c r="B28" s="126" t="s">
        <v>205</v>
      </c>
      <c r="C28" s="87"/>
      <c r="D28" s="109" t="s">
        <v>184</v>
      </c>
      <c r="E28" s="16">
        <v>2</v>
      </c>
      <c r="F28" s="191"/>
      <c r="G28" s="189">
        <f t="shared" si="0"/>
        <v>0</v>
      </c>
      <c r="H28" s="191"/>
      <c r="I28" s="71">
        <f t="shared" si="1"/>
        <v>0</v>
      </c>
      <c r="J28" s="16"/>
      <c r="K28" s="71">
        <f t="shared" si="2"/>
        <v>0</v>
      </c>
      <c r="L28" s="71">
        <f t="shared" si="3"/>
        <v>0</v>
      </c>
    </row>
    <row r="29" spans="1:12" s="65" customFormat="1" ht="13.5" x14ac:dyDescent="0.3">
      <c r="A29" s="57"/>
      <c r="B29" s="93" t="s">
        <v>206</v>
      </c>
      <c r="C29" s="93"/>
      <c r="D29" s="55" t="s">
        <v>184</v>
      </c>
      <c r="E29" s="28">
        <v>2</v>
      </c>
      <c r="F29" s="193"/>
      <c r="G29" s="189">
        <f t="shared" si="0"/>
        <v>0</v>
      </c>
      <c r="H29" s="195"/>
      <c r="I29" s="71">
        <f t="shared" si="1"/>
        <v>0</v>
      </c>
      <c r="J29" s="28"/>
      <c r="K29" s="71">
        <f t="shared" si="2"/>
        <v>0</v>
      </c>
      <c r="L29" s="71">
        <f t="shared" si="3"/>
        <v>0</v>
      </c>
    </row>
    <row r="30" spans="1:12" s="65" customFormat="1" ht="13.5" x14ac:dyDescent="0.3">
      <c r="A30" s="57"/>
      <c r="B30" s="30"/>
      <c r="C30" s="30"/>
      <c r="D30" s="55" t="s">
        <v>13</v>
      </c>
      <c r="E30" s="28"/>
      <c r="F30" s="193"/>
      <c r="G30" s="189">
        <f t="shared" si="0"/>
        <v>0</v>
      </c>
      <c r="H30" s="193"/>
      <c r="I30" s="71">
        <f t="shared" si="1"/>
        <v>0</v>
      </c>
      <c r="J30" s="28"/>
      <c r="K30" s="71">
        <f t="shared" si="2"/>
        <v>0</v>
      </c>
      <c r="L30" s="71">
        <f t="shared" si="3"/>
        <v>0</v>
      </c>
    </row>
    <row r="31" spans="1:12" s="65" customFormat="1" ht="92.5" customHeight="1" x14ac:dyDescent="0.3">
      <c r="A31" s="57"/>
      <c r="B31" s="30"/>
      <c r="C31" s="30"/>
      <c r="D31" s="55" t="s">
        <v>13</v>
      </c>
      <c r="E31" s="28"/>
      <c r="F31" s="193"/>
      <c r="G31" s="189">
        <f t="shared" si="0"/>
        <v>0</v>
      </c>
      <c r="H31" s="193"/>
      <c r="I31" s="71">
        <f t="shared" si="1"/>
        <v>0</v>
      </c>
      <c r="J31" s="28"/>
      <c r="K31" s="71">
        <f t="shared" si="2"/>
        <v>0</v>
      </c>
      <c r="L31" s="71">
        <f t="shared" si="3"/>
        <v>0</v>
      </c>
    </row>
    <row r="32" spans="1:12" s="65" customFormat="1" ht="13.5" x14ac:dyDescent="0.3">
      <c r="A32" s="57"/>
      <c r="B32" s="30"/>
      <c r="C32" s="30"/>
      <c r="D32" s="55" t="s">
        <v>13</v>
      </c>
      <c r="E32" s="28"/>
      <c r="F32" s="193"/>
      <c r="G32" s="189">
        <f t="shared" si="0"/>
        <v>0</v>
      </c>
      <c r="H32" s="193"/>
      <c r="I32" s="71">
        <f t="shared" si="1"/>
        <v>0</v>
      </c>
      <c r="J32" s="28"/>
      <c r="K32" s="71">
        <f t="shared" si="2"/>
        <v>0</v>
      </c>
      <c r="L32" s="71">
        <f t="shared" si="3"/>
        <v>0</v>
      </c>
    </row>
    <row r="33" spans="1:12" s="65" customFormat="1" ht="13.5" x14ac:dyDescent="0.35">
      <c r="A33" s="57"/>
      <c r="B33" s="92"/>
      <c r="C33" s="92"/>
      <c r="D33" s="55" t="s">
        <v>12</v>
      </c>
      <c r="E33" s="28"/>
      <c r="F33" s="193"/>
      <c r="G33" s="189">
        <f t="shared" si="0"/>
        <v>0</v>
      </c>
      <c r="H33" s="193"/>
      <c r="I33" s="71">
        <f t="shared" si="1"/>
        <v>0</v>
      </c>
      <c r="J33" s="28"/>
      <c r="K33" s="71">
        <f t="shared" si="2"/>
        <v>0</v>
      </c>
      <c r="L33" s="71">
        <f t="shared" si="3"/>
        <v>0</v>
      </c>
    </row>
    <row r="34" spans="1:12" s="65" customFormat="1" ht="13.5" x14ac:dyDescent="0.35">
      <c r="A34" s="57">
        <v>4</v>
      </c>
      <c r="B34" s="94" t="s">
        <v>104</v>
      </c>
      <c r="C34" s="94"/>
      <c r="D34" s="111" t="s">
        <v>8</v>
      </c>
      <c r="E34" s="95">
        <v>38</v>
      </c>
      <c r="F34" s="196"/>
      <c r="G34" s="189">
        <f t="shared" si="0"/>
        <v>0</v>
      </c>
      <c r="H34" s="196"/>
      <c r="I34" s="71">
        <f t="shared" si="1"/>
        <v>0</v>
      </c>
      <c r="J34" s="6"/>
      <c r="K34" s="71">
        <f t="shared" si="2"/>
        <v>0</v>
      </c>
      <c r="L34" s="71">
        <f t="shared" si="3"/>
        <v>0</v>
      </c>
    </row>
    <row r="35" spans="1:12" s="65" customFormat="1" ht="13.5" x14ac:dyDescent="0.35">
      <c r="A35" s="57"/>
      <c r="B35" s="63" t="s">
        <v>99</v>
      </c>
      <c r="C35" s="63"/>
      <c r="D35" s="109" t="s">
        <v>8</v>
      </c>
      <c r="E35" s="6">
        <f>E34*2.05</f>
        <v>77.899999999999991</v>
      </c>
      <c r="F35" s="196"/>
      <c r="G35" s="189">
        <f t="shared" si="0"/>
        <v>0</v>
      </c>
      <c r="H35" s="196"/>
      <c r="I35" s="71">
        <f t="shared" si="1"/>
        <v>0</v>
      </c>
      <c r="J35" s="6"/>
      <c r="K35" s="71">
        <f t="shared" si="2"/>
        <v>0</v>
      </c>
      <c r="L35" s="71">
        <f t="shared" si="3"/>
        <v>0</v>
      </c>
    </row>
    <row r="36" spans="1:12" s="65" customFormat="1" ht="86.5" customHeight="1" x14ac:dyDescent="0.3">
      <c r="A36" s="57"/>
      <c r="B36" s="9" t="s">
        <v>102</v>
      </c>
      <c r="C36" s="9"/>
      <c r="D36" s="55" t="s">
        <v>8</v>
      </c>
      <c r="E36" s="6">
        <f>E34</f>
        <v>38</v>
      </c>
      <c r="F36" s="196"/>
      <c r="G36" s="189">
        <f t="shared" si="0"/>
        <v>0</v>
      </c>
      <c r="H36" s="196"/>
      <c r="I36" s="71">
        <f t="shared" si="1"/>
        <v>0</v>
      </c>
      <c r="J36" s="6"/>
      <c r="K36" s="71">
        <f t="shared" si="2"/>
        <v>0</v>
      </c>
      <c r="L36" s="71">
        <f t="shared" si="3"/>
        <v>0</v>
      </c>
    </row>
    <row r="37" spans="1:12" s="65" customFormat="1" ht="84.65" customHeight="1" x14ac:dyDescent="0.35">
      <c r="A37" s="57"/>
      <c r="B37" s="72" t="s">
        <v>81</v>
      </c>
      <c r="C37" s="21"/>
      <c r="D37" s="55" t="s">
        <v>8</v>
      </c>
      <c r="E37" s="6">
        <f>E34</f>
        <v>38</v>
      </c>
      <c r="F37" s="196"/>
      <c r="G37" s="189">
        <f t="shared" si="0"/>
        <v>0</v>
      </c>
      <c r="H37" s="196"/>
      <c r="I37" s="71">
        <f t="shared" si="1"/>
        <v>0</v>
      </c>
      <c r="J37" s="6"/>
      <c r="K37" s="71">
        <f t="shared" si="2"/>
        <v>0</v>
      </c>
      <c r="L37" s="71">
        <f t="shared" si="3"/>
        <v>0</v>
      </c>
    </row>
    <row r="38" spans="1:12" s="65" customFormat="1" ht="13.5" x14ac:dyDescent="0.35">
      <c r="A38" s="57"/>
      <c r="B38" s="21"/>
      <c r="C38" s="21"/>
      <c r="D38" s="55" t="s">
        <v>10</v>
      </c>
      <c r="E38" s="6">
        <v>5</v>
      </c>
      <c r="F38" s="196"/>
      <c r="G38" s="189">
        <f t="shared" si="0"/>
        <v>0</v>
      </c>
      <c r="H38" s="196"/>
      <c r="I38" s="71">
        <f t="shared" si="1"/>
        <v>0</v>
      </c>
      <c r="J38" s="6"/>
      <c r="K38" s="71">
        <f t="shared" si="2"/>
        <v>0</v>
      </c>
      <c r="L38" s="71">
        <f t="shared" si="3"/>
        <v>0</v>
      </c>
    </row>
    <row r="39" spans="1:12" s="65" customFormat="1" ht="13.5" x14ac:dyDescent="0.35">
      <c r="A39" s="57"/>
      <c r="B39" s="21" t="s">
        <v>11</v>
      </c>
      <c r="C39" s="21"/>
      <c r="D39" s="55" t="s">
        <v>12</v>
      </c>
      <c r="E39" s="6">
        <f>E34*0.03</f>
        <v>1.1399999999999999</v>
      </c>
      <c r="F39" s="196"/>
      <c r="G39" s="189">
        <f t="shared" si="0"/>
        <v>0</v>
      </c>
      <c r="H39" s="196"/>
      <c r="I39" s="71">
        <f t="shared" si="1"/>
        <v>0</v>
      </c>
      <c r="J39" s="6"/>
      <c r="K39" s="71">
        <f t="shared" si="2"/>
        <v>0</v>
      </c>
      <c r="L39" s="71">
        <f t="shared" si="3"/>
        <v>0</v>
      </c>
    </row>
    <row r="40" spans="1:12" s="65" customFormat="1" ht="15.65" customHeight="1" x14ac:dyDescent="0.3">
      <c r="A40" s="57">
        <v>5</v>
      </c>
      <c r="B40" s="91" t="s">
        <v>100</v>
      </c>
      <c r="C40" s="91"/>
      <c r="D40" s="111" t="s">
        <v>8</v>
      </c>
      <c r="E40" s="95">
        <v>132</v>
      </c>
      <c r="F40" s="193"/>
      <c r="G40" s="189">
        <f t="shared" si="0"/>
        <v>0</v>
      </c>
      <c r="H40" s="196"/>
      <c r="I40" s="71">
        <f t="shared" ref="I40:I71" si="4">H40*E40</f>
        <v>0</v>
      </c>
      <c r="J40" s="6"/>
      <c r="K40" s="71">
        <f t="shared" ref="K40:K71" si="5">J40*E40</f>
        <v>0</v>
      </c>
      <c r="L40" s="71">
        <f t="shared" ref="L40:L71" si="6">K40+I40+G40</f>
        <v>0</v>
      </c>
    </row>
    <row r="41" spans="1:12" s="65" customFormat="1" ht="13.5" x14ac:dyDescent="0.35">
      <c r="A41" s="57"/>
      <c r="B41" s="63" t="s">
        <v>185</v>
      </c>
      <c r="C41" s="63"/>
      <c r="D41" s="109" t="s">
        <v>8</v>
      </c>
      <c r="E41" s="6">
        <f>E40*1.05</f>
        <v>138.6</v>
      </c>
      <c r="F41" s="196"/>
      <c r="G41" s="189">
        <f t="shared" si="0"/>
        <v>0</v>
      </c>
      <c r="H41" s="196"/>
      <c r="I41" s="71">
        <f t="shared" si="4"/>
        <v>0</v>
      </c>
      <c r="J41" s="6"/>
      <c r="K41" s="71">
        <f t="shared" si="5"/>
        <v>0</v>
      </c>
      <c r="L41" s="71">
        <f t="shared" si="6"/>
        <v>0</v>
      </c>
    </row>
    <row r="42" spans="1:12" s="65" customFormat="1" ht="103.15" customHeight="1" x14ac:dyDescent="0.3">
      <c r="A42" s="57"/>
      <c r="B42" s="9" t="s">
        <v>101</v>
      </c>
      <c r="C42" s="9"/>
      <c r="D42" s="55" t="s">
        <v>8</v>
      </c>
      <c r="E42" s="6">
        <f>E40</f>
        <v>132</v>
      </c>
      <c r="F42" s="196"/>
      <c r="G42" s="189">
        <f t="shared" si="0"/>
        <v>0</v>
      </c>
      <c r="H42" s="196"/>
      <c r="I42" s="71">
        <f t="shared" si="4"/>
        <v>0</v>
      </c>
      <c r="J42" s="6"/>
      <c r="K42" s="71">
        <f t="shared" si="5"/>
        <v>0</v>
      </c>
      <c r="L42" s="71">
        <f t="shared" si="6"/>
        <v>0</v>
      </c>
    </row>
    <row r="43" spans="1:12" s="65" customFormat="1" ht="13.5" x14ac:dyDescent="0.35">
      <c r="A43" s="57"/>
      <c r="B43" s="21" t="s">
        <v>11</v>
      </c>
      <c r="C43" s="21"/>
      <c r="D43" s="55" t="s">
        <v>12</v>
      </c>
      <c r="E43" s="6">
        <f>E40*0.02</f>
        <v>2.64</v>
      </c>
      <c r="F43" s="196"/>
      <c r="G43" s="189">
        <f t="shared" si="0"/>
        <v>0</v>
      </c>
      <c r="H43" s="196"/>
      <c r="I43" s="71">
        <f t="shared" si="4"/>
        <v>0</v>
      </c>
      <c r="J43" s="6"/>
      <c r="K43" s="71">
        <f t="shared" si="5"/>
        <v>0</v>
      </c>
      <c r="L43" s="71">
        <f t="shared" si="6"/>
        <v>0</v>
      </c>
    </row>
    <row r="44" spans="1:12" s="65" customFormat="1" ht="18" customHeight="1" x14ac:dyDescent="0.3">
      <c r="A44" s="57">
        <v>6</v>
      </c>
      <c r="B44" s="27" t="s">
        <v>128</v>
      </c>
      <c r="C44" s="27"/>
      <c r="D44" s="55" t="s">
        <v>129</v>
      </c>
      <c r="E44" s="28">
        <v>2</v>
      </c>
      <c r="F44" s="193"/>
      <c r="G44" s="189">
        <f t="shared" si="0"/>
        <v>0</v>
      </c>
      <c r="H44" s="193"/>
      <c r="I44" s="71">
        <f t="shared" si="4"/>
        <v>0</v>
      </c>
      <c r="J44" s="28"/>
      <c r="K44" s="71">
        <f t="shared" si="5"/>
        <v>0</v>
      </c>
      <c r="L44" s="71">
        <f t="shared" si="6"/>
        <v>0</v>
      </c>
    </row>
    <row r="45" spans="1:12" s="65" customFormat="1" ht="13.5" x14ac:dyDescent="0.35">
      <c r="A45" s="57"/>
      <c r="B45" s="63" t="s">
        <v>130</v>
      </c>
      <c r="C45" s="63"/>
      <c r="D45" s="55" t="s">
        <v>116</v>
      </c>
      <c r="E45" s="28">
        <v>4</v>
      </c>
      <c r="F45" s="193"/>
      <c r="G45" s="189">
        <f t="shared" si="0"/>
        <v>0</v>
      </c>
      <c r="H45" s="193"/>
      <c r="I45" s="71">
        <f t="shared" si="4"/>
        <v>0</v>
      </c>
      <c r="J45" s="28"/>
      <c r="K45" s="71">
        <f t="shared" si="5"/>
        <v>0</v>
      </c>
      <c r="L45" s="71">
        <f t="shared" si="6"/>
        <v>0</v>
      </c>
    </row>
    <row r="46" spans="1:12" s="65" customFormat="1" ht="88.15" customHeight="1" x14ac:dyDescent="0.3">
      <c r="A46" s="57"/>
      <c r="B46" s="29" t="s">
        <v>131</v>
      </c>
      <c r="C46" s="29"/>
      <c r="D46" s="55" t="s">
        <v>112</v>
      </c>
      <c r="E46" s="28">
        <v>10</v>
      </c>
      <c r="F46" s="193"/>
      <c r="G46" s="189">
        <f t="shared" si="0"/>
        <v>0</v>
      </c>
      <c r="H46" s="193"/>
      <c r="I46" s="71">
        <f t="shared" si="4"/>
        <v>0</v>
      </c>
      <c r="J46" s="28"/>
      <c r="K46" s="71">
        <f t="shared" si="5"/>
        <v>0</v>
      </c>
      <c r="L46" s="71">
        <f t="shared" si="6"/>
        <v>0</v>
      </c>
    </row>
    <row r="47" spans="1:12" s="65" customFormat="1" ht="13.5" x14ac:dyDescent="0.3">
      <c r="A47" s="57"/>
      <c r="B47" s="29" t="s">
        <v>186</v>
      </c>
      <c r="C47" s="29"/>
      <c r="D47" s="55" t="s">
        <v>112</v>
      </c>
      <c r="E47" s="28">
        <v>5</v>
      </c>
      <c r="F47" s="193"/>
      <c r="G47" s="189">
        <f t="shared" si="0"/>
        <v>0</v>
      </c>
      <c r="H47" s="193"/>
      <c r="I47" s="71">
        <f t="shared" si="4"/>
        <v>0</v>
      </c>
      <c r="J47" s="28"/>
      <c r="K47" s="71">
        <f t="shared" si="5"/>
        <v>0</v>
      </c>
      <c r="L47" s="71">
        <f t="shared" si="6"/>
        <v>0</v>
      </c>
    </row>
    <row r="48" spans="1:12" s="65" customFormat="1" ht="13.5" x14ac:dyDescent="0.3">
      <c r="A48" s="57"/>
      <c r="B48" s="29"/>
      <c r="C48" s="29"/>
      <c r="D48" s="55" t="s">
        <v>8</v>
      </c>
      <c r="E48" s="28">
        <f t="shared" ref="E48" si="7">E46</f>
        <v>10</v>
      </c>
      <c r="F48" s="193"/>
      <c r="G48" s="189">
        <f t="shared" si="0"/>
        <v>0</v>
      </c>
      <c r="H48" s="193"/>
      <c r="I48" s="71">
        <f t="shared" si="4"/>
        <v>0</v>
      </c>
      <c r="J48" s="28"/>
      <c r="K48" s="71">
        <f t="shared" si="5"/>
        <v>0</v>
      </c>
      <c r="L48" s="71">
        <f t="shared" si="6"/>
        <v>0</v>
      </c>
    </row>
    <row r="49" spans="1:13" s="65" customFormat="1" ht="13.5" x14ac:dyDescent="0.35">
      <c r="A49" s="57"/>
      <c r="B49" s="21"/>
      <c r="C49" s="21"/>
      <c r="D49" s="55" t="s">
        <v>12</v>
      </c>
      <c r="E49" s="28">
        <f>E43*0.7</f>
        <v>1.8479999999999999</v>
      </c>
      <c r="F49" s="193"/>
      <c r="G49" s="189">
        <f t="shared" si="0"/>
        <v>0</v>
      </c>
      <c r="H49" s="193"/>
      <c r="I49" s="71">
        <f t="shared" si="4"/>
        <v>0</v>
      </c>
      <c r="J49" s="28"/>
      <c r="K49" s="71">
        <f t="shared" si="5"/>
        <v>0</v>
      </c>
      <c r="L49" s="71">
        <f t="shared" si="6"/>
        <v>0</v>
      </c>
    </row>
    <row r="50" spans="1:13" s="65" customFormat="1" ht="15.65" customHeight="1" x14ac:dyDescent="0.3">
      <c r="A50" s="57">
        <v>7</v>
      </c>
      <c r="B50" s="19" t="s">
        <v>103</v>
      </c>
      <c r="C50" s="19"/>
      <c r="D50" s="57" t="s">
        <v>8</v>
      </c>
      <c r="E50" s="71">
        <v>746</v>
      </c>
      <c r="F50" s="189"/>
      <c r="G50" s="189">
        <f t="shared" si="0"/>
        <v>0</v>
      </c>
      <c r="H50" s="189"/>
      <c r="I50" s="71">
        <f t="shared" si="4"/>
        <v>0</v>
      </c>
      <c r="J50" s="71"/>
      <c r="K50" s="71">
        <f t="shared" si="5"/>
        <v>0</v>
      </c>
      <c r="L50" s="71">
        <f t="shared" si="6"/>
        <v>0</v>
      </c>
    </row>
    <row r="51" spans="1:13" s="65" customFormat="1" ht="13.5" x14ac:dyDescent="0.35">
      <c r="A51" s="57"/>
      <c r="B51" s="69" t="s">
        <v>29</v>
      </c>
      <c r="C51" s="69"/>
      <c r="D51" s="52" t="s">
        <v>13</v>
      </c>
      <c r="E51" s="71">
        <f>E50*0.9</f>
        <v>671.4</v>
      </c>
      <c r="F51" s="189"/>
      <c r="G51" s="189">
        <f t="shared" si="0"/>
        <v>0</v>
      </c>
      <c r="H51" s="189"/>
      <c r="I51" s="71">
        <f t="shared" si="4"/>
        <v>0</v>
      </c>
      <c r="J51" s="71"/>
      <c r="K51" s="71">
        <f t="shared" si="5"/>
        <v>0</v>
      </c>
      <c r="L51" s="71">
        <f t="shared" si="6"/>
        <v>0</v>
      </c>
    </row>
    <row r="52" spans="1:13" s="65" customFormat="1" ht="93.65" customHeight="1" x14ac:dyDescent="0.35">
      <c r="A52" s="57"/>
      <c r="B52" s="115" t="s">
        <v>204</v>
      </c>
      <c r="C52" s="69"/>
      <c r="D52" s="52" t="s">
        <v>13</v>
      </c>
      <c r="E52" s="71">
        <f>E50*0.4</f>
        <v>298.40000000000003</v>
      </c>
      <c r="F52" s="189"/>
      <c r="G52" s="189">
        <f t="shared" si="0"/>
        <v>0</v>
      </c>
      <c r="H52" s="189"/>
      <c r="I52" s="71">
        <f t="shared" si="4"/>
        <v>0</v>
      </c>
      <c r="J52" s="71"/>
      <c r="K52" s="71">
        <f t="shared" si="5"/>
        <v>0</v>
      </c>
      <c r="L52" s="71">
        <f t="shared" si="6"/>
        <v>0</v>
      </c>
    </row>
    <row r="53" spans="1:13" s="65" customFormat="1" ht="13.5" x14ac:dyDescent="0.3">
      <c r="A53" s="57"/>
      <c r="B53" s="20" t="s">
        <v>89</v>
      </c>
      <c r="C53" s="20"/>
      <c r="D53" s="52" t="s">
        <v>13</v>
      </c>
      <c r="E53" s="71">
        <f>E50*0.2</f>
        <v>149.20000000000002</v>
      </c>
      <c r="F53" s="189"/>
      <c r="G53" s="189">
        <f t="shared" si="0"/>
        <v>0</v>
      </c>
      <c r="H53" s="189"/>
      <c r="I53" s="71">
        <f t="shared" si="4"/>
        <v>0</v>
      </c>
      <c r="J53" s="71"/>
      <c r="K53" s="71">
        <f t="shared" si="5"/>
        <v>0</v>
      </c>
      <c r="L53" s="71">
        <f t="shared" si="6"/>
        <v>0</v>
      </c>
    </row>
    <row r="54" spans="1:13" s="65" customFormat="1" ht="13.5" x14ac:dyDescent="0.35">
      <c r="A54" s="57"/>
      <c r="B54" s="69" t="s">
        <v>88</v>
      </c>
      <c r="C54" s="69"/>
      <c r="D54" s="52" t="s">
        <v>8</v>
      </c>
      <c r="E54" s="71">
        <f>0.009*E50</f>
        <v>6.7139999999999995</v>
      </c>
      <c r="F54" s="189"/>
      <c r="G54" s="189">
        <f t="shared" si="0"/>
        <v>0</v>
      </c>
      <c r="H54" s="189"/>
      <c r="I54" s="71">
        <f t="shared" si="4"/>
        <v>0</v>
      </c>
      <c r="J54" s="71"/>
      <c r="K54" s="71">
        <f t="shared" si="5"/>
        <v>0</v>
      </c>
      <c r="L54" s="71">
        <f t="shared" si="6"/>
        <v>0</v>
      </c>
    </row>
    <row r="55" spans="1:13" s="65" customFormat="1" ht="13.5" x14ac:dyDescent="0.35">
      <c r="A55" s="57"/>
      <c r="B55" s="69" t="s">
        <v>37</v>
      </c>
      <c r="C55" s="69"/>
      <c r="D55" s="52" t="s">
        <v>10</v>
      </c>
      <c r="E55" s="71">
        <v>270</v>
      </c>
      <c r="F55" s="189"/>
      <c r="G55" s="189">
        <f t="shared" si="0"/>
        <v>0</v>
      </c>
      <c r="H55" s="189"/>
      <c r="I55" s="71">
        <f t="shared" si="4"/>
        <v>0</v>
      </c>
      <c r="J55" s="71"/>
      <c r="K55" s="71">
        <f t="shared" si="5"/>
        <v>0</v>
      </c>
      <c r="L55" s="71">
        <f t="shared" si="6"/>
        <v>0</v>
      </c>
    </row>
    <row r="56" spans="1:13" s="65" customFormat="1" ht="13.5" x14ac:dyDescent="0.35">
      <c r="A56" s="57"/>
      <c r="B56" s="69" t="s">
        <v>36</v>
      </c>
      <c r="C56" s="69"/>
      <c r="D56" s="52" t="s">
        <v>10</v>
      </c>
      <c r="E56" s="71">
        <v>60</v>
      </c>
      <c r="F56" s="189"/>
      <c r="G56" s="189">
        <f t="shared" si="0"/>
        <v>0</v>
      </c>
      <c r="H56" s="189"/>
      <c r="I56" s="71">
        <f t="shared" si="4"/>
        <v>0</v>
      </c>
      <c r="J56" s="71"/>
      <c r="K56" s="71">
        <f t="shared" si="5"/>
        <v>0</v>
      </c>
      <c r="L56" s="71">
        <f t="shared" si="6"/>
        <v>0</v>
      </c>
    </row>
    <row r="57" spans="1:13" s="65" customFormat="1" ht="13.5" x14ac:dyDescent="0.35">
      <c r="A57" s="57"/>
      <c r="B57" s="69" t="s">
        <v>11</v>
      </c>
      <c r="C57" s="69"/>
      <c r="D57" s="52" t="s">
        <v>12</v>
      </c>
      <c r="E57" s="71">
        <f>E50*0.003</f>
        <v>2.238</v>
      </c>
      <c r="F57" s="189"/>
      <c r="G57" s="189">
        <f t="shared" si="0"/>
        <v>0</v>
      </c>
      <c r="H57" s="189"/>
      <c r="I57" s="71">
        <f t="shared" si="4"/>
        <v>0</v>
      </c>
      <c r="J57" s="71"/>
      <c r="K57" s="71">
        <f t="shared" si="5"/>
        <v>0</v>
      </c>
      <c r="L57" s="71">
        <f t="shared" si="6"/>
        <v>0</v>
      </c>
    </row>
    <row r="58" spans="1:13" s="65" customFormat="1" ht="27" x14ac:dyDescent="0.35">
      <c r="A58" s="57">
        <v>8</v>
      </c>
      <c r="B58" s="100" t="s">
        <v>203</v>
      </c>
      <c r="C58" s="100"/>
      <c r="D58" s="52" t="s">
        <v>8</v>
      </c>
      <c r="E58" s="71">
        <v>125</v>
      </c>
      <c r="F58" s="189"/>
      <c r="G58" s="189">
        <f t="shared" si="0"/>
        <v>0</v>
      </c>
      <c r="H58" s="189"/>
      <c r="I58" s="71">
        <f t="shared" si="4"/>
        <v>0</v>
      </c>
      <c r="J58" s="71"/>
      <c r="K58" s="71">
        <f t="shared" si="5"/>
        <v>0</v>
      </c>
      <c r="L58" s="71">
        <f t="shared" si="6"/>
        <v>0</v>
      </c>
    </row>
    <row r="59" spans="1:13" s="65" customFormat="1" ht="13.5" x14ac:dyDescent="0.35">
      <c r="A59" s="57"/>
      <c r="B59" s="99" t="s">
        <v>136</v>
      </c>
      <c r="C59" s="99"/>
      <c r="D59" s="52" t="s">
        <v>8</v>
      </c>
      <c r="E59" s="71">
        <f>E58*1.05</f>
        <v>131.25</v>
      </c>
      <c r="F59" s="189"/>
      <c r="G59" s="189">
        <f t="shared" si="0"/>
        <v>0</v>
      </c>
      <c r="H59" s="189"/>
      <c r="I59" s="71">
        <f t="shared" si="4"/>
        <v>0</v>
      </c>
      <c r="J59" s="71"/>
      <c r="K59" s="71">
        <f t="shared" si="5"/>
        <v>0</v>
      </c>
      <c r="L59" s="71">
        <f t="shared" si="6"/>
        <v>0</v>
      </c>
    </row>
    <row r="60" spans="1:13" s="65" customFormat="1" ht="13.5" x14ac:dyDescent="0.35">
      <c r="A60" s="57"/>
      <c r="B60" s="99" t="s">
        <v>137</v>
      </c>
      <c r="C60" s="99"/>
      <c r="D60" s="52" t="s">
        <v>13</v>
      </c>
      <c r="E60" s="71">
        <f>E58*5.5</f>
        <v>687.5</v>
      </c>
      <c r="F60" s="189"/>
      <c r="G60" s="189">
        <f t="shared" si="0"/>
        <v>0</v>
      </c>
      <c r="H60" s="189"/>
      <c r="I60" s="71">
        <f t="shared" si="4"/>
        <v>0</v>
      </c>
      <c r="J60" s="71"/>
      <c r="K60" s="71">
        <f t="shared" si="5"/>
        <v>0</v>
      </c>
      <c r="L60" s="71">
        <f t="shared" si="6"/>
        <v>0</v>
      </c>
    </row>
    <row r="61" spans="1:13" s="65" customFormat="1" ht="13.5" x14ac:dyDescent="0.35">
      <c r="A61" s="57"/>
      <c r="B61" s="99" t="s">
        <v>138</v>
      </c>
      <c r="C61" s="99"/>
      <c r="D61" s="52" t="s">
        <v>9</v>
      </c>
      <c r="E61" s="71">
        <f>E58*0.8</f>
        <v>100</v>
      </c>
      <c r="F61" s="189"/>
      <c r="G61" s="189">
        <f t="shared" si="0"/>
        <v>0</v>
      </c>
      <c r="H61" s="189"/>
      <c r="I61" s="71">
        <f t="shared" si="4"/>
        <v>0</v>
      </c>
      <c r="J61" s="71"/>
      <c r="K61" s="71">
        <f t="shared" si="5"/>
        <v>0</v>
      </c>
      <c r="L61" s="71">
        <f t="shared" si="6"/>
        <v>0</v>
      </c>
    </row>
    <row r="62" spans="1:13" s="65" customFormat="1" ht="13.5" x14ac:dyDescent="0.35">
      <c r="A62" s="57"/>
      <c r="B62" s="69" t="s">
        <v>11</v>
      </c>
      <c r="C62" s="69"/>
      <c r="D62" s="52" t="s">
        <v>12</v>
      </c>
      <c r="E62" s="71">
        <f>E58*0.1</f>
        <v>12.5</v>
      </c>
      <c r="F62" s="189"/>
      <c r="G62" s="189">
        <f t="shared" si="0"/>
        <v>0</v>
      </c>
      <c r="H62" s="189"/>
      <c r="I62" s="71">
        <f t="shared" si="4"/>
        <v>0</v>
      </c>
      <c r="J62" s="71"/>
      <c r="K62" s="71">
        <f t="shared" si="5"/>
        <v>0</v>
      </c>
      <c r="L62" s="71">
        <f t="shared" si="6"/>
        <v>0</v>
      </c>
    </row>
    <row r="63" spans="1:13" s="65" customFormat="1" ht="121.9" customHeight="1" x14ac:dyDescent="0.3">
      <c r="A63" s="57">
        <v>9</v>
      </c>
      <c r="B63" s="152" t="s">
        <v>208</v>
      </c>
      <c r="C63" s="105"/>
      <c r="D63" s="55" t="s">
        <v>9</v>
      </c>
      <c r="E63" s="28">
        <v>2</v>
      </c>
      <c r="F63" s="193"/>
      <c r="G63" s="189">
        <f t="shared" si="0"/>
        <v>0</v>
      </c>
      <c r="H63" s="193"/>
      <c r="I63" s="71">
        <f t="shared" si="4"/>
        <v>0</v>
      </c>
      <c r="J63" s="28"/>
      <c r="K63" s="71">
        <f t="shared" si="5"/>
        <v>0</v>
      </c>
      <c r="L63" s="71">
        <f t="shared" si="6"/>
        <v>0</v>
      </c>
      <c r="M63" s="120"/>
    </row>
    <row r="64" spans="1:13" s="65" customFormat="1" ht="119.5" customHeight="1" x14ac:dyDescent="0.3">
      <c r="A64" s="57">
        <v>10</v>
      </c>
      <c r="B64" s="122"/>
      <c r="C64" s="122"/>
      <c r="D64" s="55" t="s">
        <v>9</v>
      </c>
      <c r="E64" s="28">
        <v>9</v>
      </c>
      <c r="F64" s="193"/>
      <c r="G64" s="189">
        <f t="shared" si="0"/>
        <v>0</v>
      </c>
      <c r="H64" s="193"/>
      <c r="I64" s="71">
        <f t="shared" si="4"/>
        <v>0</v>
      </c>
      <c r="J64" s="28"/>
      <c r="K64" s="71">
        <f t="shared" si="5"/>
        <v>0</v>
      </c>
      <c r="L64" s="71">
        <f t="shared" si="6"/>
        <v>0</v>
      </c>
      <c r="M64" s="121"/>
    </row>
    <row r="65" spans="1:16" s="65" customFormat="1" ht="94.9" customHeight="1" x14ac:dyDescent="0.3">
      <c r="A65" s="57">
        <v>11</v>
      </c>
      <c r="B65" s="77" t="s">
        <v>105</v>
      </c>
      <c r="C65" s="77"/>
      <c r="D65" s="55" t="s">
        <v>9</v>
      </c>
      <c r="E65" s="28">
        <v>5</v>
      </c>
      <c r="F65" s="193"/>
      <c r="G65" s="189">
        <f t="shared" si="0"/>
        <v>0</v>
      </c>
      <c r="H65" s="193"/>
      <c r="I65" s="71">
        <f t="shared" si="4"/>
        <v>0</v>
      </c>
      <c r="J65" s="28"/>
      <c r="K65" s="71">
        <f t="shared" si="5"/>
        <v>0</v>
      </c>
      <c r="L65" s="71">
        <f t="shared" si="6"/>
        <v>0</v>
      </c>
    </row>
    <row r="66" spans="1:16" s="65" customFormat="1" ht="13.5" x14ac:dyDescent="0.3">
      <c r="A66" s="57">
        <v>12</v>
      </c>
      <c r="B66" s="77" t="s">
        <v>106</v>
      </c>
      <c r="C66" s="27"/>
      <c r="D66" s="55" t="s">
        <v>9</v>
      </c>
      <c r="E66" s="28">
        <v>20</v>
      </c>
      <c r="F66" s="193"/>
      <c r="G66" s="189">
        <f t="shared" si="0"/>
        <v>0</v>
      </c>
      <c r="H66" s="193"/>
      <c r="I66" s="71">
        <f t="shared" si="4"/>
        <v>0</v>
      </c>
      <c r="J66" s="28"/>
      <c r="K66" s="71">
        <f t="shared" si="5"/>
        <v>0</v>
      </c>
      <c r="L66" s="71">
        <f t="shared" si="6"/>
        <v>0</v>
      </c>
    </row>
    <row r="67" spans="1:16" s="65" customFormat="1" ht="40.5" x14ac:dyDescent="0.3">
      <c r="A67" s="57">
        <v>13</v>
      </c>
      <c r="B67" s="103" t="s">
        <v>107</v>
      </c>
      <c r="C67" s="125"/>
      <c r="D67" s="110" t="s">
        <v>108</v>
      </c>
      <c r="E67" s="89">
        <v>50</v>
      </c>
      <c r="F67" s="194"/>
      <c r="G67" s="189">
        <f t="shared" si="0"/>
        <v>0</v>
      </c>
      <c r="H67" s="194"/>
      <c r="I67" s="71">
        <f t="shared" si="4"/>
        <v>0</v>
      </c>
      <c r="J67" s="89"/>
      <c r="K67" s="71">
        <f t="shared" si="5"/>
        <v>0</v>
      </c>
      <c r="L67" s="71">
        <f t="shared" si="6"/>
        <v>0</v>
      </c>
    </row>
    <row r="68" spans="1:16" s="65" customFormat="1" ht="13.5" x14ac:dyDescent="0.3">
      <c r="A68" s="57">
        <v>14</v>
      </c>
      <c r="B68" s="103" t="s">
        <v>109</v>
      </c>
      <c r="C68" s="125"/>
      <c r="D68" s="110" t="s">
        <v>110</v>
      </c>
      <c r="E68" s="89">
        <v>100</v>
      </c>
      <c r="F68" s="194"/>
      <c r="G68" s="189">
        <f t="shared" si="0"/>
        <v>0</v>
      </c>
      <c r="H68" s="194"/>
      <c r="I68" s="71">
        <f t="shared" si="4"/>
        <v>0</v>
      </c>
      <c r="J68" s="89"/>
      <c r="K68" s="71">
        <f t="shared" si="5"/>
        <v>0</v>
      </c>
      <c r="L68" s="71">
        <f t="shared" si="6"/>
        <v>0</v>
      </c>
    </row>
    <row r="69" spans="1:16" s="65" customFormat="1" ht="13.5" x14ac:dyDescent="0.3">
      <c r="A69" s="57">
        <v>15</v>
      </c>
      <c r="B69" s="103" t="s">
        <v>111</v>
      </c>
      <c r="C69" s="103"/>
      <c r="D69" s="109" t="s">
        <v>112</v>
      </c>
      <c r="E69" s="89">
        <v>20</v>
      </c>
      <c r="F69" s="194"/>
      <c r="G69" s="189">
        <f t="shared" si="0"/>
        <v>0</v>
      </c>
      <c r="H69" s="194"/>
      <c r="I69" s="71">
        <f t="shared" si="4"/>
        <v>0</v>
      </c>
      <c r="J69" s="89"/>
      <c r="K69" s="71">
        <f t="shared" si="5"/>
        <v>0</v>
      </c>
      <c r="L69" s="71">
        <f t="shared" si="6"/>
        <v>0</v>
      </c>
    </row>
    <row r="70" spans="1:16" s="65" customFormat="1" ht="13.5" x14ac:dyDescent="0.3">
      <c r="A70" s="57">
        <v>16</v>
      </c>
      <c r="B70" s="103" t="s">
        <v>141</v>
      </c>
      <c r="C70" s="125"/>
      <c r="D70" s="110" t="s">
        <v>108</v>
      </c>
      <c r="E70" s="89">
        <v>100</v>
      </c>
      <c r="F70" s="194"/>
      <c r="G70" s="189">
        <f t="shared" si="0"/>
        <v>0</v>
      </c>
      <c r="H70" s="194"/>
      <c r="I70" s="71">
        <f t="shared" si="4"/>
        <v>0</v>
      </c>
      <c r="J70" s="89"/>
      <c r="K70" s="71">
        <f t="shared" si="5"/>
        <v>0</v>
      </c>
      <c r="L70" s="71">
        <f t="shared" si="6"/>
        <v>0</v>
      </c>
    </row>
    <row r="71" spans="1:16" s="65" customFormat="1" ht="13.5" x14ac:dyDescent="0.3">
      <c r="A71" s="57"/>
      <c r="B71" s="101" t="s">
        <v>11</v>
      </c>
      <c r="C71" s="101"/>
      <c r="D71" s="109" t="s">
        <v>12</v>
      </c>
      <c r="E71" s="89">
        <f>SUM(E61:E70)*0.1</f>
        <v>41.85</v>
      </c>
      <c r="F71" s="194"/>
      <c r="G71" s="189">
        <f t="shared" si="0"/>
        <v>0</v>
      </c>
      <c r="H71" s="194"/>
      <c r="I71" s="71">
        <f t="shared" si="4"/>
        <v>0</v>
      </c>
      <c r="J71" s="89"/>
      <c r="K71" s="71">
        <f t="shared" si="5"/>
        <v>0</v>
      </c>
      <c r="L71" s="71">
        <f t="shared" si="6"/>
        <v>0</v>
      </c>
    </row>
    <row r="72" spans="1:16" s="65" customFormat="1" ht="103.9" customHeight="1" x14ac:dyDescent="0.3">
      <c r="A72" s="57">
        <v>17</v>
      </c>
      <c r="B72" s="104" t="s">
        <v>142</v>
      </c>
      <c r="C72" s="104"/>
      <c r="D72" s="111" t="s">
        <v>9</v>
      </c>
      <c r="E72" s="90">
        <v>2</v>
      </c>
      <c r="F72" s="191"/>
      <c r="G72" s="189">
        <f t="shared" si="0"/>
        <v>0</v>
      </c>
      <c r="H72" s="191"/>
      <c r="I72" s="71">
        <f t="shared" ref="I72:I88" si="8">H72*E72</f>
        <v>0</v>
      </c>
      <c r="J72" s="102"/>
      <c r="K72" s="71">
        <f t="shared" ref="K72:K88" si="9">J72*E72</f>
        <v>0</v>
      </c>
      <c r="L72" s="71">
        <f t="shared" ref="L72:L88" si="10">K72+I72+G72</f>
        <v>0</v>
      </c>
    </row>
    <row r="73" spans="1:16" s="65" customFormat="1" ht="38.25" customHeight="1" x14ac:dyDescent="0.3">
      <c r="A73" s="144">
        <v>18</v>
      </c>
      <c r="B73" s="145" t="s">
        <v>200</v>
      </c>
      <c r="C73" s="146"/>
      <c r="D73" s="147" t="s">
        <v>112</v>
      </c>
      <c r="E73" s="148">
        <v>1</v>
      </c>
      <c r="F73" s="191"/>
      <c r="G73" s="189">
        <f t="shared" ref="G73" si="11">F73*E73</f>
        <v>0</v>
      </c>
      <c r="H73" s="191"/>
      <c r="I73" s="148">
        <f t="shared" si="8"/>
        <v>0</v>
      </c>
      <c r="J73" s="149"/>
      <c r="K73" s="148">
        <f t="shared" si="9"/>
        <v>0</v>
      </c>
      <c r="L73" s="148">
        <f t="shared" si="10"/>
        <v>0</v>
      </c>
    </row>
    <row r="74" spans="1:16" s="65" customFormat="1" ht="38.25" customHeight="1" x14ac:dyDescent="0.3">
      <c r="A74" s="57">
        <v>19</v>
      </c>
      <c r="B74" s="150" t="s">
        <v>189</v>
      </c>
      <c r="C74" s="104"/>
      <c r="D74" s="110" t="s">
        <v>112</v>
      </c>
      <c r="E74" s="90">
        <v>1</v>
      </c>
      <c r="F74" s="191"/>
      <c r="G74" s="189">
        <f t="shared" si="0"/>
        <v>0</v>
      </c>
      <c r="H74" s="191"/>
      <c r="I74" s="71">
        <f t="shared" si="8"/>
        <v>0</v>
      </c>
      <c r="J74" s="102"/>
      <c r="K74" s="71">
        <f t="shared" si="9"/>
        <v>0</v>
      </c>
      <c r="L74" s="71">
        <f t="shared" si="10"/>
        <v>0</v>
      </c>
      <c r="P74" s="151"/>
    </row>
    <row r="75" spans="1:16" s="65" customFormat="1" ht="14.5" x14ac:dyDescent="0.3">
      <c r="A75" s="57">
        <v>20</v>
      </c>
      <c r="B75" s="150" t="s">
        <v>190</v>
      </c>
      <c r="C75" s="112"/>
      <c r="D75" s="110" t="s">
        <v>112</v>
      </c>
      <c r="E75" s="114">
        <v>2</v>
      </c>
      <c r="F75" s="194"/>
      <c r="G75" s="189">
        <f t="shared" si="0"/>
        <v>0</v>
      </c>
      <c r="H75" s="191"/>
      <c r="I75" s="71">
        <f t="shared" si="8"/>
        <v>0</v>
      </c>
      <c r="J75" s="102"/>
      <c r="K75" s="71">
        <f t="shared" si="9"/>
        <v>0</v>
      </c>
      <c r="L75" s="71">
        <f t="shared" si="10"/>
        <v>0</v>
      </c>
      <c r="P75" s="151"/>
    </row>
    <row r="76" spans="1:16" s="65" customFormat="1" ht="14.5" x14ac:dyDescent="0.3">
      <c r="A76" s="57">
        <v>21</v>
      </c>
      <c r="B76" s="150" t="s">
        <v>191</v>
      </c>
      <c r="C76" s="106"/>
      <c r="D76" s="110" t="s">
        <v>112</v>
      </c>
      <c r="E76" s="89">
        <v>1</v>
      </c>
      <c r="F76" s="194"/>
      <c r="G76" s="189">
        <f t="shared" si="0"/>
        <v>0</v>
      </c>
      <c r="H76" s="194"/>
      <c r="I76" s="71">
        <f t="shared" si="8"/>
        <v>0</v>
      </c>
      <c r="J76" s="89"/>
      <c r="K76" s="71">
        <f t="shared" si="9"/>
        <v>0</v>
      </c>
      <c r="L76" s="71">
        <f t="shared" si="10"/>
        <v>0</v>
      </c>
      <c r="P76" s="151"/>
    </row>
    <row r="77" spans="1:16" s="65" customFormat="1" ht="16.899999999999999" customHeight="1" x14ac:dyDescent="0.3">
      <c r="A77" s="57">
        <v>22</v>
      </c>
      <c r="B77" s="150" t="s">
        <v>192</v>
      </c>
      <c r="C77" s="106"/>
      <c r="D77" s="110" t="s">
        <v>112</v>
      </c>
      <c r="E77" s="89">
        <v>1</v>
      </c>
      <c r="F77" s="194"/>
      <c r="G77" s="189">
        <f t="shared" si="0"/>
        <v>0</v>
      </c>
      <c r="H77" s="194"/>
      <c r="I77" s="71">
        <f t="shared" si="8"/>
        <v>0</v>
      </c>
      <c r="J77" s="89"/>
      <c r="K77" s="71">
        <f t="shared" si="9"/>
        <v>0</v>
      </c>
      <c r="L77" s="71">
        <f t="shared" si="10"/>
        <v>0</v>
      </c>
      <c r="P77" s="151"/>
    </row>
    <row r="78" spans="1:16" s="65" customFormat="1" ht="13.5" x14ac:dyDescent="0.3">
      <c r="A78" s="57">
        <v>23</v>
      </c>
      <c r="B78" s="130" t="s">
        <v>196</v>
      </c>
      <c r="C78" s="107"/>
      <c r="D78" s="110" t="s">
        <v>9</v>
      </c>
      <c r="E78" s="89">
        <v>1</v>
      </c>
      <c r="F78" s="194"/>
      <c r="G78" s="189">
        <f t="shared" ref="G78:G83" si="12">F78*E78</f>
        <v>0</v>
      </c>
      <c r="H78" s="194"/>
      <c r="I78" s="71">
        <f t="shared" si="8"/>
        <v>0</v>
      </c>
      <c r="J78" s="89"/>
      <c r="K78" s="71">
        <f t="shared" si="9"/>
        <v>0</v>
      </c>
      <c r="L78" s="71">
        <f t="shared" si="10"/>
        <v>0</v>
      </c>
      <c r="P78" s="151"/>
    </row>
    <row r="79" spans="1:16" s="65" customFormat="1" ht="13.5" x14ac:dyDescent="0.3">
      <c r="A79" s="57">
        <v>24</v>
      </c>
      <c r="B79" s="130" t="s">
        <v>193</v>
      </c>
      <c r="C79" s="107"/>
      <c r="D79" s="110" t="s">
        <v>9</v>
      </c>
      <c r="E79" s="89">
        <v>1</v>
      </c>
      <c r="F79" s="194"/>
      <c r="G79" s="189">
        <f t="shared" si="12"/>
        <v>0</v>
      </c>
      <c r="H79" s="194"/>
      <c r="I79" s="71">
        <f t="shared" si="8"/>
        <v>0</v>
      </c>
      <c r="J79" s="89"/>
      <c r="K79" s="71">
        <f t="shared" si="9"/>
        <v>0</v>
      </c>
      <c r="L79" s="71">
        <f t="shared" si="10"/>
        <v>0</v>
      </c>
      <c r="P79" s="151"/>
    </row>
    <row r="80" spans="1:16" s="65" customFormat="1" ht="30.75" customHeight="1" x14ac:dyDescent="0.3">
      <c r="A80" s="57">
        <v>25</v>
      </c>
      <c r="B80" s="130" t="s">
        <v>201</v>
      </c>
      <c r="C80" s="106"/>
      <c r="D80" s="110" t="s">
        <v>146</v>
      </c>
      <c r="E80" s="89">
        <v>100</v>
      </c>
      <c r="F80" s="194"/>
      <c r="G80" s="189">
        <f t="shared" si="12"/>
        <v>0</v>
      </c>
      <c r="H80" s="194"/>
      <c r="I80" s="71">
        <f t="shared" si="8"/>
        <v>0</v>
      </c>
      <c r="J80" s="89"/>
      <c r="K80" s="71">
        <f t="shared" si="9"/>
        <v>0</v>
      </c>
      <c r="L80" s="71">
        <f t="shared" si="10"/>
        <v>0</v>
      </c>
      <c r="P80" s="151"/>
    </row>
    <row r="81" spans="1:16" s="65" customFormat="1" ht="30.75" customHeight="1" x14ac:dyDescent="0.3">
      <c r="A81" s="57">
        <v>26</v>
      </c>
      <c r="B81" s="130" t="s">
        <v>202</v>
      </c>
      <c r="C81" s="106"/>
      <c r="D81" s="110" t="s">
        <v>146</v>
      </c>
      <c r="E81" s="89">
        <v>40</v>
      </c>
      <c r="F81" s="194"/>
      <c r="G81" s="189">
        <f t="shared" si="12"/>
        <v>0</v>
      </c>
      <c r="H81" s="194"/>
      <c r="I81" s="71">
        <f t="shared" si="8"/>
        <v>0</v>
      </c>
      <c r="J81" s="89"/>
      <c r="K81" s="71">
        <f t="shared" si="9"/>
        <v>0</v>
      </c>
      <c r="L81" s="71">
        <f t="shared" si="10"/>
        <v>0</v>
      </c>
      <c r="P81" s="151"/>
    </row>
    <row r="82" spans="1:16" s="65" customFormat="1" ht="13.5" x14ac:dyDescent="0.3">
      <c r="A82" s="57">
        <v>27</v>
      </c>
      <c r="B82" s="130" t="s">
        <v>194</v>
      </c>
      <c r="C82" s="107"/>
      <c r="D82" s="110" t="s">
        <v>112</v>
      </c>
      <c r="E82" s="89">
        <v>1</v>
      </c>
      <c r="F82" s="194"/>
      <c r="G82" s="189">
        <f t="shared" si="12"/>
        <v>0</v>
      </c>
      <c r="H82" s="194"/>
      <c r="I82" s="71">
        <f t="shared" si="8"/>
        <v>0</v>
      </c>
      <c r="J82" s="89"/>
      <c r="K82" s="71">
        <f t="shared" si="9"/>
        <v>0</v>
      </c>
      <c r="L82" s="71">
        <f t="shared" si="10"/>
        <v>0</v>
      </c>
      <c r="P82" s="151"/>
    </row>
    <row r="83" spans="1:16" s="65" customFormat="1" ht="30.75" customHeight="1" x14ac:dyDescent="0.3">
      <c r="A83" s="57">
        <v>28</v>
      </c>
      <c r="B83" s="130" t="s">
        <v>195</v>
      </c>
      <c r="C83" s="106"/>
      <c r="D83" s="110" t="s">
        <v>113</v>
      </c>
      <c r="E83" s="89">
        <v>1</v>
      </c>
      <c r="F83" s="194"/>
      <c r="G83" s="189">
        <f t="shared" si="12"/>
        <v>0</v>
      </c>
      <c r="H83" s="194"/>
      <c r="I83" s="71">
        <f t="shared" si="8"/>
        <v>0</v>
      </c>
      <c r="J83" s="89"/>
      <c r="K83" s="71">
        <f t="shared" si="9"/>
        <v>0</v>
      </c>
      <c r="L83" s="71">
        <f t="shared" si="10"/>
        <v>0</v>
      </c>
      <c r="P83" s="151"/>
    </row>
    <row r="84" spans="1:16" s="65" customFormat="1" ht="13.5" x14ac:dyDescent="0.3">
      <c r="A84" s="57">
        <v>29</v>
      </c>
      <c r="B84" s="130" t="s">
        <v>197</v>
      </c>
      <c r="C84" s="107"/>
      <c r="D84" s="110" t="s">
        <v>112</v>
      </c>
      <c r="E84" s="89">
        <v>4</v>
      </c>
      <c r="F84" s="194"/>
      <c r="G84" s="189">
        <f t="shared" ref="G84:G85" si="13">F84*E84</f>
        <v>0</v>
      </c>
      <c r="H84" s="194"/>
      <c r="I84" s="71">
        <f t="shared" si="8"/>
        <v>0</v>
      </c>
      <c r="J84" s="89"/>
      <c r="K84" s="71">
        <f t="shared" si="9"/>
        <v>0</v>
      </c>
      <c r="L84" s="71">
        <f t="shared" si="10"/>
        <v>0</v>
      </c>
    </row>
    <row r="85" spans="1:16" s="65" customFormat="1" ht="30.75" customHeight="1" x14ac:dyDescent="0.3">
      <c r="A85" s="57">
        <v>30</v>
      </c>
      <c r="B85" s="130" t="s">
        <v>198</v>
      </c>
      <c r="C85" s="106"/>
      <c r="D85" s="110" t="s">
        <v>112</v>
      </c>
      <c r="E85" s="89">
        <v>6</v>
      </c>
      <c r="F85" s="194"/>
      <c r="G85" s="189">
        <f t="shared" si="13"/>
        <v>0</v>
      </c>
      <c r="H85" s="194"/>
      <c r="I85" s="71">
        <f t="shared" si="8"/>
        <v>0</v>
      </c>
      <c r="J85" s="89"/>
      <c r="K85" s="71">
        <f t="shared" si="9"/>
        <v>0</v>
      </c>
      <c r="L85" s="71">
        <f t="shared" si="10"/>
        <v>0</v>
      </c>
    </row>
    <row r="86" spans="1:16" s="65" customFormat="1" ht="30.75" customHeight="1" x14ac:dyDescent="0.3">
      <c r="A86" s="57">
        <v>31</v>
      </c>
      <c r="B86" s="130" t="s">
        <v>199</v>
      </c>
      <c r="C86" s="106"/>
      <c r="D86" s="110" t="s">
        <v>112</v>
      </c>
      <c r="E86" s="89">
        <v>4</v>
      </c>
      <c r="F86" s="194"/>
      <c r="G86" s="189">
        <f t="shared" ref="G86" si="14">F86*E86</f>
        <v>0</v>
      </c>
      <c r="H86" s="194"/>
      <c r="I86" s="71">
        <f t="shared" si="8"/>
        <v>0</v>
      </c>
      <c r="J86" s="89"/>
      <c r="K86" s="71">
        <f t="shared" si="9"/>
        <v>0</v>
      </c>
      <c r="L86" s="71">
        <f t="shared" si="10"/>
        <v>0</v>
      </c>
    </row>
    <row r="87" spans="1:16" s="65" customFormat="1" ht="16.899999999999999" customHeight="1" x14ac:dyDescent="0.3">
      <c r="A87" s="57">
        <v>32</v>
      </c>
      <c r="B87" s="130" t="s">
        <v>148</v>
      </c>
      <c r="C87" s="107"/>
      <c r="D87" s="110" t="s">
        <v>149</v>
      </c>
      <c r="E87" s="89">
        <v>10</v>
      </c>
      <c r="F87" s="194"/>
      <c r="G87" s="189">
        <f t="shared" si="0"/>
        <v>0</v>
      </c>
      <c r="H87" s="194"/>
      <c r="I87" s="71">
        <f t="shared" si="8"/>
        <v>0</v>
      </c>
      <c r="J87" s="89"/>
      <c r="K87" s="71">
        <f t="shared" si="9"/>
        <v>0</v>
      </c>
      <c r="L87" s="71">
        <f t="shared" si="10"/>
        <v>0</v>
      </c>
    </row>
    <row r="88" spans="1:16" s="65" customFormat="1" ht="27" x14ac:dyDescent="0.3">
      <c r="A88" s="57">
        <v>33</v>
      </c>
      <c r="B88" s="20" t="s">
        <v>68</v>
      </c>
      <c r="C88" s="27"/>
      <c r="D88" s="52" t="s">
        <v>23</v>
      </c>
      <c r="E88" s="71">
        <v>7</v>
      </c>
      <c r="F88" s="189"/>
      <c r="G88" s="189">
        <f t="shared" si="0"/>
        <v>0</v>
      </c>
      <c r="H88" s="189"/>
      <c r="I88" s="71">
        <f t="shared" si="8"/>
        <v>0</v>
      </c>
      <c r="J88" s="71"/>
      <c r="K88" s="71">
        <f t="shared" si="9"/>
        <v>0</v>
      </c>
      <c r="L88" s="71">
        <f t="shared" si="10"/>
        <v>0</v>
      </c>
    </row>
    <row r="89" spans="1:16" s="65" customFormat="1" ht="16.149999999999999" customHeight="1" x14ac:dyDescent="0.3">
      <c r="A89" s="80"/>
      <c r="B89" s="9" t="s">
        <v>6</v>
      </c>
      <c r="C89" s="9"/>
      <c r="D89" s="52"/>
      <c r="E89" s="71"/>
      <c r="F89" s="189"/>
      <c r="G89" s="197">
        <f>SUM(G8:G88)</f>
        <v>0</v>
      </c>
      <c r="H89" s="197"/>
      <c r="I89" s="98">
        <f>SUM(I9:I88)</f>
        <v>0</v>
      </c>
      <c r="J89" s="98"/>
      <c r="K89" s="98">
        <f>SUM(K9:K88)</f>
        <v>0</v>
      </c>
      <c r="L89" s="98">
        <f>SUM(L8:L88)</f>
        <v>0</v>
      </c>
    </row>
    <row r="90" spans="1:16" s="96" customFormat="1" ht="16.149999999999999" customHeight="1" x14ac:dyDescent="0.35">
      <c r="A90" s="80"/>
      <c r="B90" s="97" t="s">
        <v>14</v>
      </c>
      <c r="C90" s="97"/>
      <c r="D90" s="59" t="s">
        <v>209</v>
      </c>
      <c r="E90" s="71"/>
      <c r="F90" s="198"/>
      <c r="G90" s="189"/>
      <c r="H90" s="189"/>
      <c r="I90" s="71"/>
      <c r="J90" s="71"/>
      <c r="K90" s="72"/>
      <c r="L90" s="71" t="e">
        <f>L89*D90</f>
        <v>#VALUE!</v>
      </c>
    </row>
    <row r="91" spans="1:16" s="96" customFormat="1" ht="16.149999999999999" customHeight="1" x14ac:dyDescent="0.35">
      <c r="A91" s="80"/>
      <c r="B91" s="97" t="s">
        <v>6</v>
      </c>
      <c r="C91" s="97"/>
      <c r="D91" s="52"/>
      <c r="E91" s="71"/>
      <c r="F91" s="198"/>
      <c r="G91" s="198"/>
      <c r="H91" s="189"/>
      <c r="I91" s="71"/>
      <c r="J91" s="71"/>
      <c r="K91" s="72"/>
      <c r="L91" s="71" t="e">
        <f>L90+L89</f>
        <v>#VALUE!</v>
      </c>
    </row>
    <row r="92" spans="1:16" s="96" customFormat="1" ht="16.149999999999999" customHeight="1" x14ac:dyDescent="0.35">
      <c r="A92" s="80"/>
      <c r="B92" s="97" t="s">
        <v>15</v>
      </c>
      <c r="C92" s="97"/>
      <c r="D92" s="59" t="s">
        <v>209</v>
      </c>
      <c r="E92" s="71"/>
      <c r="F92" s="198"/>
      <c r="G92" s="198"/>
      <c r="H92" s="189"/>
      <c r="I92" s="71"/>
      <c r="J92" s="71"/>
      <c r="K92" s="72"/>
      <c r="L92" s="71" t="e">
        <f>L91*D92</f>
        <v>#VALUE!</v>
      </c>
    </row>
    <row r="93" spans="1:16" s="96" customFormat="1" ht="16.149999999999999" customHeight="1" x14ac:dyDescent="0.35">
      <c r="A93" s="80"/>
      <c r="B93" s="97" t="s">
        <v>6</v>
      </c>
      <c r="C93" s="97"/>
      <c r="D93" s="52"/>
      <c r="E93" s="71"/>
      <c r="F93" s="198"/>
      <c r="G93" s="198"/>
      <c r="H93" s="189"/>
      <c r="I93" s="71"/>
      <c r="J93" s="71"/>
      <c r="K93" s="72"/>
      <c r="L93" s="71" t="e">
        <f>SUM(L91:L92)</f>
        <v>#VALUE!</v>
      </c>
    </row>
    <row r="94" spans="1:16" s="65" customFormat="1" ht="16.149999999999999" customHeight="1" x14ac:dyDescent="0.35">
      <c r="A94" s="81"/>
      <c r="B94" s="97" t="s">
        <v>16</v>
      </c>
      <c r="C94" s="97"/>
      <c r="D94" s="59" t="s">
        <v>209</v>
      </c>
      <c r="E94" s="71"/>
      <c r="F94" s="198"/>
      <c r="G94" s="198"/>
      <c r="H94" s="189"/>
      <c r="I94" s="71"/>
      <c r="J94" s="71"/>
      <c r="K94" s="72"/>
      <c r="L94" s="71" t="e">
        <f>L93*D94</f>
        <v>#VALUE!</v>
      </c>
    </row>
    <row r="95" spans="1:16" s="65" customFormat="1" ht="16.149999999999999" customHeight="1" x14ac:dyDescent="0.35">
      <c r="A95" s="81"/>
      <c r="B95" s="97" t="s">
        <v>6</v>
      </c>
      <c r="C95" s="97"/>
      <c r="D95" s="52"/>
      <c r="E95" s="71"/>
      <c r="F95" s="198"/>
      <c r="G95" s="198"/>
      <c r="H95" s="189"/>
      <c r="I95" s="71"/>
      <c r="J95" s="71"/>
      <c r="K95" s="72"/>
      <c r="L95" s="71" t="e">
        <f>SUM(L93:L94)</f>
        <v>#VALUE!</v>
      </c>
    </row>
    <row r="96" spans="1:16" s="65" customFormat="1" ht="16.149999999999999" customHeight="1" x14ac:dyDescent="0.35">
      <c r="A96" s="80"/>
      <c r="B96" s="97" t="s">
        <v>19</v>
      </c>
      <c r="C96" s="97"/>
      <c r="D96" s="59" t="s">
        <v>209</v>
      </c>
      <c r="E96" s="71"/>
      <c r="F96" s="198"/>
      <c r="G96" s="198"/>
      <c r="H96" s="189"/>
      <c r="I96" s="71"/>
      <c r="J96" s="71"/>
      <c r="K96" s="72"/>
      <c r="L96" s="71" t="e">
        <f>L95*D96</f>
        <v>#VALUE!</v>
      </c>
    </row>
    <row r="97" spans="1:12" s="65" customFormat="1" ht="16.149999999999999" customHeight="1" x14ac:dyDescent="0.35">
      <c r="A97" s="82"/>
      <c r="B97" s="97" t="s">
        <v>28</v>
      </c>
      <c r="C97" s="97"/>
      <c r="D97" s="59">
        <v>0.02</v>
      </c>
      <c r="E97" s="71"/>
      <c r="F97" s="198"/>
      <c r="G97" s="198"/>
      <c r="H97" s="189"/>
      <c r="I97" s="71"/>
      <c r="J97" s="71"/>
      <c r="K97" s="72"/>
      <c r="L97" s="71">
        <f>I89*D97</f>
        <v>0</v>
      </c>
    </row>
    <row r="98" spans="1:12" s="65" customFormat="1" ht="16.149999999999999" customHeight="1" x14ac:dyDescent="0.35">
      <c r="A98" s="83"/>
      <c r="B98" s="97" t="s">
        <v>6</v>
      </c>
      <c r="C98" s="97"/>
      <c r="D98" s="52"/>
      <c r="E98" s="71"/>
      <c r="F98" s="198"/>
      <c r="G98" s="198"/>
      <c r="H98" s="189"/>
      <c r="I98" s="71"/>
      <c r="J98" s="71"/>
      <c r="K98" s="72"/>
      <c r="L98" s="71" t="e">
        <f>L97+L96+L95</f>
        <v>#VALUE!</v>
      </c>
    </row>
    <row r="99" spans="1:12" s="65" customFormat="1" ht="16.149999999999999" customHeight="1" x14ac:dyDescent="0.3">
      <c r="A99" s="83"/>
      <c r="B99" s="9" t="s">
        <v>17</v>
      </c>
      <c r="C99" s="9"/>
      <c r="D99" s="59">
        <v>0.18</v>
      </c>
      <c r="E99" s="71"/>
      <c r="F99" s="198"/>
      <c r="G99" s="198"/>
      <c r="H99" s="198"/>
      <c r="I99" s="72"/>
      <c r="J99" s="72"/>
      <c r="K99" s="72"/>
      <c r="L99" s="71" t="e">
        <f>L98*D99</f>
        <v>#VALUE!</v>
      </c>
    </row>
    <row r="100" spans="1:12" s="65" customFormat="1" ht="16.149999999999999" customHeight="1" x14ac:dyDescent="0.35">
      <c r="A100" s="83"/>
      <c r="B100" s="70" t="s">
        <v>18</v>
      </c>
      <c r="C100" s="70"/>
      <c r="D100" s="60"/>
      <c r="E100" s="72"/>
      <c r="F100" s="198"/>
      <c r="G100" s="198"/>
      <c r="H100" s="198"/>
      <c r="I100" s="72"/>
      <c r="J100" s="72"/>
      <c r="K100" s="72"/>
      <c r="L100" s="73" t="e">
        <f>L99+L98</f>
        <v>#VALUE!</v>
      </c>
    </row>
  </sheetData>
  <autoFilter ref="A6:P100" xr:uid="{45F3C109-E283-464A-B1C9-C5E15F065157}"/>
  <mergeCells count="12">
    <mergeCell ref="J4:K4"/>
    <mergeCell ref="L4:L5"/>
    <mergeCell ref="A1:L1"/>
    <mergeCell ref="B2:L2"/>
    <mergeCell ref="F3:I3"/>
    <mergeCell ref="J3:L3"/>
    <mergeCell ref="A4:A5"/>
    <mergeCell ref="B4:B5"/>
    <mergeCell ref="D4:D5"/>
    <mergeCell ref="E4:E5"/>
    <mergeCell ref="F4:G4"/>
    <mergeCell ref="H4:I4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2"/>
  <sheetViews>
    <sheetView workbookViewId="0">
      <selection activeCell="B11" sqref="B11"/>
    </sheetView>
  </sheetViews>
  <sheetFormatPr defaultColWidth="8.7265625" defaultRowHeight="14.5" x14ac:dyDescent="0.35"/>
  <cols>
    <col min="1" max="1" width="3.36328125" customWidth="1"/>
    <col min="2" max="2" width="51.7265625" customWidth="1"/>
    <col min="4" max="4" width="11.7265625" customWidth="1"/>
    <col min="5" max="5" width="9.08984375" customWidth="1"/>
    <col min="7" max="7" width="10.6328125" customWidth="1"/>
    <col min="9" max="9" width="11.36328125" customWidth="1"/>
    <col min="11" max="11" width="12.36328125" customWidth="1"/>
  </cols>
  <sheetData>
    <row r="1" spans="1:11" ht="18" customHeight="1" x14ac:dyDescent="0.35">
      <c r="A1" s="177" t="s">
        <v>44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pans="1:11" x14ac:dyDescent="0.35">
      <c r="A2" s="43"/>
      <c r="B2" s="175" t="s">
        <v>67</v>
      </c>
      <c r="C2" s="175"/>
      <c r="D2" s="175"/>
      <c r="E2" s="175"/>
      <c r="F2" s="175"/>
      <c r="G2" s="175"/>
      <c r="H2" s="175"/>
      <c r="I2" s="175"/>
      <c r="J2" s="175"/>
      <c r="K2" s="175"/>
    </row>
    <row r="3" spans="1:11" x14ac:dyDescent="0.35">
      <c r="A3" s="176" t="s">
        <v>35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</row>
    <row r="4" spans="1:11" x14ac:dyDescent="0.35">
      <c r="A4" s="44"/>
      <c r="B4" s="45" t="s">
        <v>45</v>
      </c>
      <c r="C4" s="46"/>
      <c r="D4" s="46"/>
      <c r="E4" s="154" t="s">
        <v>22</v>
      </c>
      <c r="F4" s="154"/>
      <c r="G4" s="154"/>
      <c r="H4" s="154"/>
      <c r="I4" s="178">
        <f>K32</f>
        <v>4235.6298933604003</v>
      </c>
      <c r="J4" s="178"/>
      <c r="K4" s="178"/>
    </row>
    <row r="5" spans="1:11" x14ac:dyDescent="0.35">
      <c r="A5" s="162" t="s">
        <v>26</v>
      </c>
      <c r="B5" s="162" t="s">
        <v>0</v>
      </c>
      <c r="C5" s="162" t="s">
        <v>1</v>
      </c>
      <c r="D5" s="166" t="s">
        <v>2</v>
      </c>
      <c r="E5" s="168" t="s">
        <v>3</v>
      </c>
      <c r="F5" s="169"/>
      <c r="G5" s="168" t="s">
        <v>4</v>
      </c>
      <c r="H5" s="169"/>
      <c r="I5" s="160" t="s">
        <v>5</v>
      </c>
      <c r="J5" s="161"/>
      <c r="K5" s="162" t="s">
        <v>6</v>
      </c>
    </row>
    <row r="6" spans="1:11" ht="20.25" customHeight="1" x14ac:dyDescent="0.35">
      <c r="A6" s="163"/>
      <c r="B6" s="163"/>
      <c r="C6" s="163"/>
      <c r="D6" s="167"/>
      <c r="E6" s="52" t="s">
        <v>7</v>
      </c>
      <c r="F6" s="52" t="s">
        <v>6</v>
      </c>
      <c r="G6" s="52" t="s">
        <v>7</v>
      </c>
      <c r="H6" s="52" t="s">
        <v>6</v>
      </c>
      <c r="I6" s="52" t="s">
        <v>7</v>
      </c>
      <c r="J6" s="52" t="s">
        <v>6</v>
      </c>
      <c r="K6" s="163"/>
    </row>
    <row r="7" spans="1:11" x14ac:dyDescent="0.35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 x14ac:dyDescent="0.35">
      <c r="A8" s="35"/>
      <c r="B8" s="10" t="s">
        <v>72</v>
      </c>
      <c r="C8" s="55"/>
      <c r="D8" s="6"/>
      <c r="E8" s="6"/>
      <c r="F8" s="6">
        <f t="shared" ref="F8:F20" si="0">E8*D8</f>
        <v>0</v>
      </c>
      <c r="G8" s="6"/>
      <c r="H8" s="6">
        <f t="shared" ref="H8:H20" si="1">G8*D8</f>
        <v>0</v>
      </c>
      <c r="I8" s="6"/>
      <c r="J8" s="6">
        <f t="shared" ref="J8:J20" si="2">I8*D8</f>
        <v>0</v>
      </c>
      <c r="K8" s="6">
        <f t="shared" ref="K8:K20" si="3">J8+H8+F8</f>
        <v>0</v>
      </c>
    </row>
    <row r="9" spans="1:11" x14ac:dyDescent="0.35">
      <c r="A9" s="35">
        <v>1</v>
      </c>
      <c r="B9" s="19" t="s">
        <v>64</v>
      </c>
      <c r="C9" s="55" t="s">
        <v>8</v>
      </c>
      <c r="D9" s="28">
        <v>100</v>
      </c>
      <c r="E9" s="6"/>
      <c r="F9" s="6">
        <f t="shared" si="0"/>
        <v>0</v>
      </c>
      <c r="G9" s="6">
        <v>15</v>
      </c>
      <c r="H9" s="6">
        <f t="shared" si="1"/>
        <v>1500</v>
      </c>
      <c r="I9" s="6"/>
      <c r="J9" s="6">
        <f t="shared" si="2"/>
        <v>0</v>
      </c>
      <c r="K9" s="6">
        <f t="shared" si="3"/>
        <v>1500</v>
      </c>
    </row>
    <row r="10" spans="1:11" x14ac:dyDescent="0.35">
      <c r="A10" s="35"/>
      <c r="B10" s="33" t="s">
        <v>29</v>
      </c>
      <c r="C10" s="55" t="s">
        <v>13</v>
      </c>
      <c r="D10" s="31">
        <f>0.7*45</f>
        <v>31.499999999999996</v>
      </c>
      <c r="E10" s="6">
        <v>0.9</v>
      </c>
      <c r="F10" s="6">
        <f t="shared" si="0"/>
        <v>28.349999999999998</v>
      </c>
      <c r="G10" s="6"/>
      <c r="H10" s="6">
        <f t="shared" si="1"/>
        <v>0</v>
      </c>
      <c r="I10" s="6">
        <v>0.1</v>
      </c>
      <c r="J10" s="6">
        <f t="shared" si="2"/>
        <v>3.15</v>
      </c>
      <c r="K10" s="6">
        <f t="shared" si="3"/>
        <v>31.499999999999996</v>
      </c>
    </row>
    <row r="11" spans="1:11" x14ac:dyDescent="0.35">
      <c r="A11" s="35"/>
      <c r="B11" s="20" t="s">
        <v>50</v>
      </c>
      <c r="C11" s="55" t="s">
        <v>13</v>
      </c>
      <c r="D11" s="31">
        <f>D9*0.35</f>
        <v>35</v>
      </c>
      <c r="E11" s="6">
        <v>12</v>
      </c>
      <c r="F11" s="6">
        <f t="shared" si="0"/>
        <v>420</v>
      </c>
      <c r="G11" s="6"/>
      <c r="H11" s="6">
        <f t="shared" si="1"/>
        <v>0</v>
      </c>
      <c r="I11" s="6">
        <v>0.1</v>
      </c>
      <c r="J11" s="6">
        <f t="shared" si="2"/>
        <v>3.5</v>
      </c>
      <c r="K11" s="6">
        <f t="shared" si="3"/>
        <v>423.5</v>
      </c>
    </row>
    <row r="12" spans="1:11" x14ac:dyDescent="0.35">
      <c r="A12" s="35"/>
      <c r="B12" s="20" t="s">
        <v>41</v>
      </c>
      <c r="C12" s="55" t="s">
        <v>13</v>
      </c>
      <c r="D12" s="31">
        <f>D9*0.15</f>
        <v>15</v>
      </c>
      <c r="E12" s="6">
        <v>5</v>
      </c>
      <c r="F12" s="6">
        <f t="shared" si="0"/>
        <v>75</v>
      </c>
      <c r="G12" s="6"/>
      <c r="H12" s="6">
        <f t="shared" si="1"/>
        <v>0</v>
      </c>
      <c r="I12" s="6">
        <v>0.1</v>
      </c>
      <c r="J12" s="6">
        <f t="shared" si="2"/>
        <v>1.5</v>
      </c>
      <c r="K12" s="6">
        <f t="shared" si="3"/>
        <v>76.5</v>
      </c>
    </row>
    <row r="13" spans="1:11" x14ac:dyDescent="0.35">
      <c r="A13" s="35"/>
      <c r="B13" s="33" t="s">
        <v>30</v>
      </c>
      <c r="C13" s="55" t="s">
        <v>8</v>
      </c>
      <c r="D13" s="6">
        <f>0.009*D9</f>
        <v>0.89999999999999991</v>
      </c>
      <c r="E13" s="6">
        <v>25</v>
      </c>
      <c r="F13" s="6">
        <f t="shared" si="0"/>
        <v>22.499999999999996</v>
      </c>
      <c r="G13" s="6"/>
      <c r="H13" s="6">
        <f t="shared" si="1"/>
        <v>0</v>
      </c>
      <c r="I13" s="6">
        <v>0.1</v>
      </c>
      <c r="J13" s="6">
        <f t="shared" si="2"/>
        <v>0.09</v>
      </c>
      <c r="K13" s="6">
        <f t="shared" si="3"/>
        <v>22.589999999999996</v>
      </c>
    </row>
    <row r="14" spans="1:11" x14ac:dyDescent="0.35">
      <c r="A14" s="35"/>
      <c r="B14" s="33" t="s">
        <v>36</v>
      </c>
      <c r="C14" s="55" t="s">
        <v>10</v>
      </c>
      <c r="D14" s="31">
        <f>0.5*D9</f>
        <v>50</v>
      </c>
      <c r="E14" s="6">
        <v>1.4</v>
      </c>
      <c r="F14" s="6">
        <f t="shared" si="0"/>
        <v>70</v>
      </c>
      <c r="G14" s="6"/>
      <c r="H14" s="6">
        <f t="shared" si="1"/>
        <v>0</v>
      </c>
      <c r="I14" s="6">
        <v>0.01</v>
      </c>
      <c r="J14" s="6">
        <f t="shared" si="2"/>
        <v>0.5</v>
      </c>
      <c r="K14" s="6">
        <f t="shared" si="3"/>
        <v>70.5</v>
      </c>
    </row>
    <row r="15" spans="1:11" x14ac:dyDescent="0.35">
      <c r="A15" s="35"/>
      <c r="B15" s="33" t="s">
        <v>11</v>
      </c>
      <c r="C15" s="55" t="s">
        <v>12</v>
      </c>
      <c r="D15" s="6">
        <f>D9*0.01</f>
        <v>1</v>
      </c>
      <c r="E15" s="6">
        <v>8</v>
      </c>
      <c r="F15" s="6">
        <f t="shared" si="0"/>
        <v>8</v>
      </c>
      <c r="G15" s="6"/>
      <c r="H15" s="6">
        <f t="shared" si="1"/>
        <v>0</v>
      </c>
      <c r="I15" s="6"/>
      <c r="J15" s="6">
        <f t="shared" si="2"/>
        <v>0</v>
      </c>
      <c r="K15" s="6">
        <f t="shared" si="3"/>
        <v>8</v>
      </c>
    </row>
    <row r="16" spans="1:11" ht="27.75" customHeight="1" x14ac:dyDescent="0.35">
      <c r="A16" s="35">
        <v>2</v>
      </c>
      <c r="B16" s="17" t="s">
        <v>31</v>
      </c>
      <c r="C16" s="55" t="s">
        <v>10</v>
      </c>
      <c r="D16" s="28">
        <v>25</v>
      </c>
      <c r="E16" s="6"/>
      <c r="F16" s="6">
        <f t="shared" si="0"/>
        <v>0</v>
      </c>
      <c r="G16" s="6">
        <v>5</v>
      </c>
      <c r="H16" s="6">
        <f t="shared" si="1"/>
        <v>125</v>
      </c>
      <c r="I16" s="6"/>
      <c r="J16" s="6">
        <f t="shared" si="2"/>
        <v>0</v>
      </c>
      <c r="K16" s="6">
        <f t="shared" si="3"/>
        <v>125</v>
      </c>
    </row>
    <row r="17" spans="1:11" x14ac:dyDescent="0.35">
      <c r="A17" s="35"/>
      <c r="B17" s="5" t="s">
        <v>32</v>
      </c>
      <c r="C17" s="55" t="s">
        <v>10</v>
      </c>
      <c r="D17" s="6">
        <f>1.03*D16</f>
        <v>25.75</v>
      </c>
      <c r="E17" s="6">
        <v>11</v>
      </c>
      <c r="F17" s="6">
        <f t="shared" si="0"/>
        <v>283.25</v>
      </c>
      <c r="G17" s="6"/>
      <c r="H17" s="6">
        <f t="shared" si="1"/>
        <v>0</v>
      </c>
      <c r="I17" s="6">
        <v>0.2</v>
      </c>
      <c r="J17" s="6">
        <f t="shared" si="2"/>
        <v>5.15</v>
      </c>
      <c r="K17" s="6">
        <f t="shared" si="3"/>
        <v>288.39999999999998</v>
      </c>
    </row>
    <row r="18" spans="1:11" x14ac:dyDescent="0.35">
      <c r="A18" s="35"/>
      <c r="B18" s="5" t="s">
        <v>34</v>
      </c>
      <c r="C18" s="55" t="s">
        <v>27</v>
      </c>
      <c r="D18" s="6">
        <f>D16*4</f>
        <v>100</v>
      </c>
      <c r="E18" s="6">
        <v>0.04</v>
      </c>
      <c r="F18" s="6">
        <f t="shared" si="0"/>
        <v>4</v>
      </c>
      <c r="G18" s="6"/>
      <c r="H18" s="6">
        <f t="shared" si="1"/>
        <v>0</v>
      </c>
      <c r="I18" s="6">
        <v>0.01</v>
      </c>
      <c r="J18" s="6">
        <f t="shared" si="2"/>
        <v>1</v>
      </c>
      <c r="K18" s="6">
        <f t="shared" si="3"/>
        <v>5</v>
      </c>
    </row>
    <row r="19" spans="1:11" x14ac:dyDescent="0.35">
      <c r="A19" s="35"/>
      <c r="B19" s="5" t="s">
        <v>33</v>
      </c>
      <c r="C19" s="55" t="s">
        <v>27</v>
      </c>
      <c r="D19" s="6">
        <v>15</v>
      </c>
      <c r="E19" s="6">
        <v>14</v>
      </c>
      <c r="F19" s="6">
        <f t="shared" si="0"/>
        <v>210</v>
      </c>
      <c r="G19" s="6"/>
      <c r="H19" s="6">
        <f t="shared" si="1"/>
        <v>0</v>
      </c>
      <c r="I19" s="6">
        <v>0.1</v>
      </c>
      <c r="J19" s="6">
        <f t="shared" si="2"/>
        <v>1.5</v>
      </c>
      <c r="K19" s="6">
        <f t="shared" si="3"/>
        <v>211.5</v>
      </c>
    </row>
    <row r="20" spans="1:11" x14ac:dyDescent="0.35">
      <c r="A20" s="35"/>
      <c r="B20" s="5" t="s">
        <v>11</v>
      </c>
      <c r="C20" s="55" t="s">
        <v>12</v>
      </c>
      <c r="D20" s="6">
        <f>D16*0.03</f>
        <v>0.75</v>
      </c>
      <c r="E20" s="6">
        <v>8</v>
      </c>
      <c r="F20" s="6">
        <f t="shared" si="0"/>
        <v>6</v>
      </c>
      <c r="G20" s="6"/>
      <c r="H20" s="6">
        <f t="shared" si="1"/>
        <v>0</v>
      </c>
      <c r="I20" s="6"/>
      <c r="J20" s="6">
        <f t="shared" si="2"/>
        <v>0</v>
      </c>
      <c r="K20" s="6">
        <f t="shared" si="3"/>
        <v>6</v>
      </c>
    </row>
    <row r="21" spans="1:11" x14ac:dyDescent="0.35">
      <c r="A21" s="22"/>
      <c r="B21" s="7" t="s">
        <v>6</v>
      </c>
      <c r="C21" s="55"/>
      <c r="D21" s="6"/>
      <c r="E21" s="6"/>
      <c r="F21" s="6">
        <f>SUM(F8:F20)</f>
        <v>1127.0999999999999</v>
      </c>
      <c r="G21" s="6"/>
      <c r="H21" s="6">
        <f>SUM(H8:H20)</f>
        <v>1625</v>
      </c>
      <c r="I21" s="6"/>
      <c r="J21" s="6">
        <f>SUM(J8:J20)</f>
        <v>16.39</v>
      </c>
      <c r="K21" s="6">
        <f>SUM(K8:K20)</f>
        <v>2768.4900000000002</v>
      </c>
    </row>
    <row r="22" spans="1:11" x14ac:dyDescent="0.35">
      <c r="A22" s="8"/>
      <c r="B22" s="13" t="s">
        <v>14</v>
      </c>
      <c r="C22" s="56">
        <v>0.05</v>
      </c>
      <c r="D22" s="16"/>
      <c r="E22" s="15"/>
      <c r="F22" s="16"/>
      <c r="G22" s="16"/>
      <c r="H22" s="16"/>
      <c r="I22" s="16"/>
      <c r="J22" s="15"/>
      <c r="K22" s="16">
        <f>K21*C22</f>
        <v>138.42450000000002</v>
      </c>
    </row>
    <row r="23" spans="1:11" x14ac:dyDescent="0.35">
      <c r="A23" s="8"/>
      <c r="B23" s="18" t="s">
        <v>6</v>
      </c>
      <c r="C23" s="57"/>
      <c r="D23" s="16"/>
      <c r="E23" s="15"/>
      <c r="F23" s="15"/>
      <c r="G23" s="16"/>
      <c r="H23" s="16"/>
      <c r="I23" s="16"/>
      <c r="J23" s="15"/>
      <c r="K23" s="16">
        <f>K22+K21</f>
        <v>2906.9145000000003</v>
      </c>
    </row>
    <row r="24" spans="1:11" x14ac:dyDescent="0.35">
      <c r="A24" s="8"/>
      <c r="B24" s="13" t="s">
        <v>15</v>
      </c>
      <c r="C24" s="56">
        <v>0.1</v>
      </c>
      <c r="D24" s="16"/>
      <c r="E24" s="15"/>
      <c r="F24" s="15"/>
      <c r="G24" s="16"/>
      <c r="H24" s="16"/>
      <c r="I24" s="16"/>
      <c r="J24" s="15"/>
      <c r="K24" s="16">
        <f>K23*C24</f>
        <v>290.69145000000003</v>
      </c>
    </row>
    <row r="25" spans="1:11" x14ac:dyDescent="0.35">
      <c r="A25" s="8"/>
      <c r="B25" s="18" t="s">
        <v>6</v>
      </c>
      <c r="C25" s="57"/>
      <c r="D25" s="16"/>
      <c r="E25" s="15"/>
      <c r="F25" s="15"/>
      <c r="G25" s="16"/>
      <c r="H25" s="16"/>
      <c r="I25" s="16"/>
      <c r="J25" s="15"/>
      <c r="K25" s="16">
        <f>SUM(K23:K24)</f>
        <v>3197.6059500000001</v>
      </c>
    </row>
    <row r="26" spans="1:11" x14ac:dyDescent="0.35">
      <c r="A26" s="8"/>
      <c r="B26" s="13" t="s">
        <v>16</v>
      </c>
      <c r="C26" s="56">
        <v>0.08</v>
      </c>
      <c r="D26" s="16"/>
      <c r="E26" s="15"/>
      <c r="F26" s="15"/>
      <c r="G26" s="16"/>
      <c r="H26" s="16"/>
      <c r="I26" s="16"/>
      <c r="J26" s="15"/>
      <c r="K26" s="16">
        <f>K25*C26</f>
        <v>255.80847600000001</v>
      </c>
    </row>
    <row r="27" spans="1:11" x14ac:dyDescent="0.35">
      <c r="A27" s="14"/>
      <c r="B27" s="18" t="s">
        <v>6</v>
      </c>
      <c r="C27" s="57"/>
      <c r="D27" s="16"/>
      <c r="E27" s="15"/>
      <c r="F27" s="15"/>
      <c r="G27" s="16"/>
      <c r="H27" s="16"/>
      <c r="I27" s="16"/>
      <c r="J27" s="15"/>
      <c r="K27" s="16">
        <f>SUM(K25:K26)</f>
        <v>3453.4144260000003</v>
      </c>
    </row>
    <row r="28" spans="1:11" x14ac:dyDescent="0.35">
      <c r="A28" s="14"/>
      <c r="B28" s="13" t="s">
        <v>19</v>
      </c>
      <c r="C28" s="56">
        <v>0.03</v>
      </c>
      <c r="D28" s="16"/>
      <c r="E28" s="15"/>
      <c r="F28" s="15"/>
      <c r="G28" s="16"/>
      <c r="H28" s="16"/>
      <c r="I28" s="16"/>
      <c r="J28" s="15"/>
      <c r="K28" s="16">
        <f>K27*C28</f>
        <v>103.60243278</v>
      </c>
    </row>
    <row r="29" spans="1:11" x14ac:dyDescent="0.35">
      <c r="A29" s="14"/>
      <c r="B29" s="13" t="s">
        <v>28</v>
      </c>
      <c r="C29" s="56">
        <v>0.02</v>
      </c>
      <c r="D29" s="16"/>
      <c r="E29" s="15"/>
      <c r="F29" s="15"/>
      <c r="G29" s="16"/>
      <c r="H29" s="16"/>
      <c r="I29" s="16"/>
      <c r="J29" s="15"/>
      <c r="K29" s="16">
        <f>H21*C29</f>
        <v>32.5</v>
      </c>
    </row>
    <row r="30" spans="1:11" x14ac:dyDescent="0.35">
      <c r="A30" s="14"/>
      <c r="B30" s="18" t="s">
        <v>6</v>
      </c>
      <c r="C30" s="57"/>
      <c r="D30" s="16"/>
      <c r="E30" s="15"/>
      <c r="F30" s="15"/>
      <c r="G30" s="16"/>
      <c r="H30" s="16"/>
      <c r="I30" s="16"/>
      <c r="J30" s="15"/>
      <c r="K30" s="16">
        <f>K29+K28+K27</f>
        <v>3589.5168587800003</v>
      </c>
    </row>
    <row r="31" spans="1:11" x14ac:dyDescent="0.35">
      <c r="A31" s="8"/>
      <c r="B31" s="8" t="s">
        <v>17</v>
      </c>
      <c r="C31" s="56">
        <v>0.18</v>
      </c>
      <c r="D31" s="16"/>
      <c r="E31" s="15"/>
      <c r="F31" s="15"/>
      <c r="G31" s="15"/>
      <c r="H31" s="15"/>
      <c r="I31" s="15"/>
      <c r="J31" s="15"/>
      <c r="K31" s="16">
        <f>K30*C31</f>
        <v>646.11303458040004</v>
      </c>
    </row>
    <row r="32" spans="1:11" x14ac:dyDescent="0.35">
      <c r="A32" s="7"/>
      <c r="B32" s="11" t="s">
        <v>18</v>
      </c>
      <c r="C32" s="4"/>
      <c r="D32" s="7"/>
      <c r="E32" s="7"/>
      <c r="F32" s="7"/>
      <c r="G32" s="7"/>
      <c r="H32" s="7"/>
      <c r="I32" s="7"/>
      <c r="J32" s="7"/>
      <c r="K32" s="25">
        <f>K31+K30</f>
        <v>4235.6298933604003</v>
      </c>
    </row>
  </sheetData>
  <mergeCells count="13">
    <mergeCell ref="B2:K2"/>
    <mergeCell ref="A3:K3"/>
    <mergeCell ref="E4:H4"/>
    <mergeCell ref="A1:K1"/>
    <mergeCell ref="I4:K4"/>
    <mergeCell ref="I5:J5"/>
    <mergeCell ref="K5:K6"/>
    <mergeCell ref="A5:A6"/>
    <mergeCell ref="B5:B6"/>
    <mergeCell ref="C5:C6"/>
    <mergeCell ref="D5:D6"/>
    <mergeCell ref="E5:F5"/>
    <mergeCell ref="G5:H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K66"/>
  <sheetViews>
    <sheetView topLeftCell="A4" workbookViewId="0">
      <selection activeCell="A9" sqref="A9:XFD16"/>
    </sheetView>
  </sheetViews>
  <sheetFormatPr defaultColWidth="8.7265625" defaultRowHeight="14.5" x14ac:dyDescent="0.35"/>
  <cols>
    <col min="1" max="1" width="4.36328125" customWidth="1"/>
    <col min="2" max="2" width="74.36328125" customWidth="1"/>
    <col min="4" max="4" width="10.36328125" customWidth="1"/>
    <col min="8" max="8" width="9.36328125" bestFit="1" customWidth="1"/>
    <col min="11" max="11" width="11.36328125" customWidth="1"/>
  </cols>
  <sheetData>
    <row r="1" spans="1:11" ht="18" customHeight="1" x14ac:dyDescent="0.35">
      <c r="A1" s="177" t="s">
        <v>44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pans="1:11" x14ac:dyDescent="0.35">
      <c r="A2" s="43"/>
      <c r="B2" s="175" t="s">
        <v>66</v>
      </c>
      <c r="C2" s="175"/>
      <c r="D2" s="175"/>
      <c r="E2" s="175"/>
      <c r="F2" s="175"/>
      <c r="G2" s="175"/>
      <c r="H2" s="175"/>
      <c r="I2" s="175"/>
      <c r="J2" s="175"/>
      <c r="K2" s="175"/>
    </row>
    <row r="3" spans="1:11" x14ac:dyDescent="0.35">
      <c r="A3" s="176" t="s">
        <v>35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</row>
    <row r="4" spans="1:11" ht="18" customHeight="1" x14ac:dyDescent="0.35">
      <c r="A4" s="44"/>
      <c r="B4" s="45" t="s">
        <v>43</v>
      </c>
      <c r="C4" s="46"/>
      <c r="D4" s="46"/>
      <c r="E4" s="154" t="s">
        <v>22</v>
      </c>
      <c r="F4" s="154"/>
      <c r="G4" s="154"/>
      <c r="H4" s="154"/>
      <c r="I4" s="178">
        <f>K47</f>
        <v>2376.7384026599998</v>
      </c>
      <c r="J4" s="178"/>
      <c r="K4" s="178"/>
    </row>
    <row r="5" spans="1:11" ht="15" customHeight="1" x14ac:dyDescent="0.35">
      <c r="A5" s="162" t="s">
        <v>26</v>
      </c>
      <c r="B5" s="162" t="s">
        <v>0</v>
      </c>
      <c r="C5" s="162" t="s">
        <v>1</v>
      </c>
      <c r="D5" s="166" t="s">
        <v>2</v>
      </c>
      <c r="E5" s="168" t="s">
        <v>3</v>
      </c>
      <c r="F5" s="169"/>
      <c r="G5" s="168" t="s">
        <v>4</v>
      </c>
      <c r="H5" s="169"/>
      <c r="I5" s="160" t="s">
        <v>5</v>
      </c>
      <c r="J5" s="161"/>
      <c r="K5" s="162" t="s">
        <v>6</v>
      </c>
    </row>
    <row r="6" spans="1:11" x14ac:dyDescent="0.35">
      <c r="A6" s="163"/>
      <c r="B6" s="163"/>
      <c r="C6" s="163"/>
      <c r="D6" s="167"/>
      <c r="E6" s="60" t="s">
        <v>7</v>
      </c>
      <c r="F6" s="52" t="s">
        <v>6</v>
      </c>
      <c r="G6" s="60" t="s">
        <v>7</v>
      </c>
      <c r="H6" s="52" t="s">
        <v>6</v>
      </c>
      <c r="I6" s="60" t="s">
        <v>7</v>
      </c>
      <c r="J6" s="52" t="s">
        <v>6</v>
      </c>
      <c r="K6" s="163"/>
    </row>
    <row r="7" spans="1:11" x14ac:dyDescent="0.35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 ht="31.9" customHeight="1" x14ac:dyDescent="0.35">
      <c r="A8" s="35"/>
      <c r="B8" s="66" t="s">
        <v>65</v>
      </c>
      <c r="C8" s="53"/>
      <c r="D8" s="6"/>
      <c r="E8" s="6"/>
      <c r="F8" s="6"/>
      <c r="G8" s="6"/>
      <c r="H8" s="6"/>
      <c r="I8" s="6"/>
      <c r="J8" s="6"/>
      <c r="K8" s="6"/>
    </row>
    <row r="9" spans="1:11" x14ac:dyDescent="0.35">
      <c r="A9" s="35">
        <v>1</v>
      </c>
      <c r="B9" s="27" t="s">
        <v>84</v>
      </c>
      <c r="C9" s="24" t="s">
        <v>8</v>
      </c>
      <c r="D9" s="28">
        <v>22</v>
      </c>
      <c r="E9" s="28"/>
      <c r="F9" s="6">
        <f t="shared" ref="F9:F35" si="0">E9*D9</f>
        <v>0</v>
      </c>
      <c r="G9" s="28">
        <v>14</v>
      </c>
      <c r="H9" s="6">
        <f t="shared" ref="H9:H35" si="1">G9*D9</f>
        <v>308</v>
      </c>
      <c r="I9" s="28"/>
      <c r="J9" s="6">
        <f t="shared" ref="J9:J35" si="2">I9*D9</f>
        <v>0</v>
      </c>
      <c r="K9" s="6">
        <f t="shared" ref="K9:K35" si="3">J9+H9+F9</f>
        <v>308</v>
      </c>
    </row>
    <row r="10" spans="1:11" x14ac:dyDescent="0.35">
      <c r="A10" s="35">
        <v>2</v>
      </c>
      <c r="B10" s="27" t="s">
        <v>83</v>
      </c>
      <c r="C10" s="24" t="s">
        <v>8</v>
      </c>
      <c r="D10" s="28">
        <v>3</v>
      </c>
      <c r="E10" s="28"/>
      <c r="F10" s="6">
        <f t="shared" ref="F10" si="4">E10*D10</f>
        <v>0</v>
      </c>
      <c r="G10" s="28">
        <v>18</v>
      </c>
      <c r="H10" s="6">
        <f t="shared" ref="H10" si="5">G10*D10</f>
        <v>54</v>
      </c>
      <c r="I10" s="28"/>
      <c r="J10" s="6">
        <f t="shared" ref="J10" si="6">I10*D10</f>
        <v>0</v>
      </c>
      <c r="K10" s="6">
        <f t="shared" ref="K10" si="7">J10+H10+F10</f>
        <v>54</v>
      </c>
    </row>
    <row r="11" spans="1:11" x14ac:dyDescent="0.35">
      <c r="A11" s="35"/>
      <c r="B11" s="63" t="s">
        <v>78</v>
      </c>
      <c r="C11" s="24" t="s">
        <v>8</v>
      </c>
      <c r="D11" s="28">
        <f>D9*1.05+D10*2.1</f>
        <v>29.400000000000002</v>
      </c>
      <c r="E11" s="28">
        <v>5.5</v>
      </c>
      <c r="F11" s="6">
        <f t="shared" si="0"/>
        <v>161.70000000000002</v>
      </c>
      <c r="G11" s="28"/>
      <c r="H11" s="6">
        <f t="shared" si="1"/>
        <v>0</v>
      </c>
      <c r="I11" s="28"/>
      <c r="J11" s="6">
        <f t="shared" si="2"/>
        <v>0</v>
      </c>
      <c r="K11" s="6">
        <f t="shared" si="3"/>
        <v>161.70000000000002</v>
      </c>
    </row>
    <row r="12" spans="1:11" ht="27" x14ac:dyDescent="0.35">
      <c r="A12" s="35"/>
      <c r="B12" s="9" t="s">
        <v>79</v>
      </c>
      <c r="C12" s="24" t="s">
        <v>8</v>
      </c>
      <c r="D12" s="28">
        <f>D10</f>
        <v>3</v>
      </c>
      <c r="E12" s="28">
        <v>14</v>
      </c>
      <c r="F12" s="6">
        <f t="shared" si="0"/>
        <v>42</v>
      </c>
      <c r="G12" s="28"/>
      <c r="H12" s="6">
        <f t="shared" si="1"/>
        <v>0</v>
      </c>
      <c r="I12" s="28">
        <v>0.5</v>
      </c>
      <c r="J12" s="6">
        <f t="shared" si="2"/>
        <v>1.5</v>
      </c>
      <c r="K12" s="6">
        <f t="shared" si="3"/>
        <v>43.5</v>
      </c>
    </row>
    <row r="13" spans="1:11" ht="27" x14ac:dyDescent="0.35">
      <c r="A13" s="35"/>
      <c r="B13" s="21" t="s">
        <v>80</v>
      </c>
      <c r="C13" s="24" t="s">
        <v>8</v>
      </c>
      <c r="D13" s="28">
        <f>D9</f>
        <v>22</v>
      </c>
      <c r="E13" s="28">
        <v>10</v>
      </c>
      <c r="F13" s="6">
        <f t="shared" si="0"/>
        <v>220</v>
      </c>
      <c r="G13" s="28"/>
      <c r="H13" s="6">
        <f t="shared" si="1"/>
        <v>0</v>
      </c>
      <c r="I13" s="28">
        <v>0.5</v>
      </c>
      <c r="J13" s="6">
        <f t="shared" si="2"/>
        <v>11</v>
      </c>
      <c r="K13" s="6">
        <f t="shared" si="3"/>
        <v>231</v>
      </c>
    </row>
    <row r="14" spans="1:11" x14ac:dyDescent="0.35">
      <c r="A14" s="35"/>
      <c r="B14" s="21" t="s">
        <v>81</v>
      </c>
      <c r="C14" s="24" t="s">
        <v>8</v>
      </c>
      <c r="D14" s="28">
        <f>D10</f>
        <v>3</v>
      </c>
      <c r="E14" s="28">
        <v>9</v>
      </c>
      <c r="F14" s="6">
        <f t="shared" si="0"/>
        <v>27</v>
      </c>
      <c r="G14" s="28"/>
      <c r="H14" s="6">
        <f t="shared" si="1"/>
        <v>0</v>
      </c>
      <c r="I14" s="28"/>
      <c r="J14" s="6">
        <f t="shared" si="2"/>
        <v>0</v>
      </c>
      <c r="K14" s="6">
        <f t="shared" si="3"/>
        <v>27</v>
      </c>
    </row>
    <row r="15" spans="1:11" x14ac:dyDescent="0.35">
      <c r="A15" s="35"/>
      <c r="B15" s="21" t="s">
        <v>39</v>
      </c>
      <c r="C15" s="24" t="s">
        <v>10</v>
      </c>
      <c r="D15" s="28">
        <v>3</v>
      </c>
      <c r="E15" s="28">
        <v>2</v>
      </c>
      <c r="F15" s="6">
        <f t="shared" si="0"/>
        <v>6</v>
      </c>
      <c r="G15" s="28"/>
      <c r="H15" s="6">
        <f t="shared" si="1"/>
        <v>0</v>
      </c>
      <c r="I15" s="28"/>
      <c r="J15" s="6">
        <f t="shared" si="2"/>
        <v>0</v>
      </c>
      <c r="K15" s="6">
        <f t="shared" si="3"/>
        <v>6</v>
      </c>
    </row>
    <row r="16" spans="1:11" x14ac:dyDescent="0.35">
      <c r="A16" s="35"/>
      <c r="B16" s="21" t="s">
        <v>11</v>
      </c>
      <c r="C16" s="24" t="s">
        <v>12</v>
      </c>
      <c r="D16" s="28">
        <f>D8*0.1+D9*0.08</f>
        <v>1.76</v>
      </c>
      <c r="E16" s="28">
        <v>5</v>
      </c>
      <c r="F16" s="6">
        <f t="shared" si="0"/>
        <v>8.8000000000000007</v>
      </c>
      <c r="G16" s="28"/>
      <c r="H16" s="6">
        <f t="shared" si="1"/>
        <v>0</v>
      </c>
      <c r="I16" s="28"/>
      <c r="J16" s="6">
        <f t="shared" si="2"/>
        <v>0</v>
      </c>
      <c r="K16" s="6">
        <f t="shared" si="3"/>
        <v>8.8000000000000007</v>
      </c>
    </row>
    <row r="17" spans="1:11" x14ac:dyDescent="0.35">
      <c r="A17" s="35"/>
      <c r="B17" s="21"/>
      <c r="C17" s="24"/>
      <c r="D17" s="28"/>
      <c r="E17" s="28"/>
      <c r="F17" s="6"/>
      <c r="G17" s="28"/>
      <c r="H17" s="6"/>
      <c r="I17" s="28"/>
      <c r="J17" s="6"/>
      <c r="K17" s="6"/>
    </row>
    <row r="18" spans="1:11" x14ac:dyDescent="0.35">
      <c r="A18" s="35"/>
      <c r="B18" s="21"/>
      <c r="C18" s="24"/>
      <c r="D18" s="28"/>
      <c r="E18" s="28"/>
      <c r="F18" s="6"/>
      <c r="G18" s="28"/>
      <c r="H18" s="6"/>
      <c r="I18" s="28"/>
      <c r="J18" s="6"/>
      <c r="K18" s="6"/>
    </row>
    <row r="19" spans="1:11" x14ac:dyDescent="0.35">
      <c r="A19" s="35"/>
      <c r="B19" s="21"/>
      <c r="C19" s="24"/>
      <c r="D19" s="28"/>
      <c r="E19" s="28"/>
      <c r="F19" s="6"/>
      <c r="G19" s="28"/>
      <c r="H19" s="6"/>
      <c r="I19" s="28"/>
      <c r="J19" s="6"/>
      <c r="K19" s="6"/>
    </row>
    <row r="20" spans="1:11" x14ac:dyDescent="0.35">
      <c r="A20" s="35"/>
      <c r="B20" s="21"/>
      <c r="C20" s="24"/>
      <c r="D20" s="28"/>
      <c r="E20" s="28"/>
      <c r="F20" s="6"/>
      <c r="G20" s="28"/>
      <c r="H20" s="6"/>
      <c r="I20" s="28"/>
      <c r="J20" s="6"/>
      <c r="K20" s="6"/>
    </row>
    <row r="21" spans="1:11" x14ac:dyDescent="0.35">
      <c r="A21" s="35"/>
      <c r="B21" s="21"/>
      <c r="C21" s="24"/>
      <c r="D21" s="28"/>
      <c r="E21" s="28"/>
      <c r="F21" s="6"/>
      <c r="G21" s="28"/>
      <c r="H21" s="6"/>
      <c r="I21" s="28"/>
      <c r="J21" s="6"/>
      <c r="K21" s="6"/>
    </row>
    <row r="22" spans="1:11" x14ac:dyDescent="0.35">
      <c r="A22" s="35"/>
      <c r="B22" s="21"/>
      <c r="C22" s="24"/>
      <c r="D22" s="28"/>
      <c r="E22" s="28"/>
      <c r="F22" s="6"/>
      <c r="G22" s="28"/>
      <c r="H22" s="6"/>
      <c r="I22" s="28"/>
      <c r="J22" s="6"/>
      <c r="K22" s="6"/>
    </row>
    <row r="23" spans="1:11" x14ac:dyDescent="0.35">
      <c r="A23" s="35"/>
      <c r="B23" s="21"/>
      <c r="C23" s="24"/>
      <c r="D23" s="28"/>
      <c r="E23" s="28"/>
      <c r="F23" s="6"/>
      <c r="G23" s="28"/>
      <c r="H23" s="6"/>
      <c r="I23" s="28"/>
      <c r="J23" s="6"/>
      <c r="K23" s="6"/>
    </row>
    <row r="24" spans="1:11" x14ac:dyDescent="0.35">
      <c r="A24" s="35"/>
      <c r="B24" s="21"/>
      <c r="C24" s="24"/>
      <c r="D24" s="28"/>
      <c r="E24" s="28"/>
      <c r="F24" s="6"/>
      <c r="G24" s="28"/>
      <c r="H24" s="6"/>
      <c r="I24" s="28"/>
      <c r="J24" s="6"/>
      <c r="K24" s="6"/>
    </row>
    <row r="25" spans="1:11" x14ac:dyDescent="0.35">
      <c r="A25" s="35"/>
      <c r="B25" s="21"/>
      <c r="C25" s="24"/>
      <c r="D25" s="28"/>
      <c r="E25" s="28"/>
      <c r="F25" s="6"/>
      <c r="G25" s="28"/>
      <c r="H25" s="6"/>
      <c r="I25" s="28"/>
      <c r="J25" s="6"/>
      <c r="K25" s="6"/>
    </row>
    <row r="26" spans="1:11" x14ac:dyDescent="0.35">
      <c r="A26" s="35"/>
      <c r="B26" s="21"/>
      <c r="C26" s="24"/>
      <c r="D26" s="28"/>
      <c r="E26" s="28"/>
      <c r="F26" s="6"/>
      <c r="G26" s="28"/>
      <c r="H26" s="6"/>
      <c r="I26" s="28"/>
      <c r="J26" s="6"/>
      <c r="K26" s="6"/>
    </row>
    <row r="27" spans="1:11" x14ac:dyDescent="0.35">
      <c r="A27" s="35">
        <v>2</v>
      </c>
      <c r="B27" s="19" t="s">
        <v>82</v>
      </c>
      <c r="C27" s="24" t="s">
        <v>8</v>
      </c>
      <c r="D27" s="28">
        <v>25</v>
      </c>
      <c r="E27" s="6"/>
      <c r="F27" s="6">
        <f t="shared" si="0"/>
        <v>0</v>
      </c>
      <c r="G27" s="6">
        <v>8</v>
      </c>
      <c r="H27" s="6">
        <f t="shared" si="1"/>
        <v>200</v>
      </c>
      <c r="I27" s="6"/>
      <c r="J27" s="6">
        <f t="shared" si="2"/>
        <v>0</v>
      </c>
      <c r="K27" s="6">
        <f t="shared" si="3"/>
        <v>200</v>
      </c>
    </row>
    <row r="28" spans="1:11" x14ac:dyDescent="0.35">
      <c r="A28" s="35"/>
      <c r="B28" s="5" t="s">
        <v>29</v>
      </c>
      <c r="C28" s="23" t="s">
        <v>13</v>
      </c>
      <c r="D28" s="6">
        <f>0.7*D27</f>
        <v>17.5</v>
      </c>
      <c r="E28" s="6">
        <v>1.25</v>
      </c>
      <c r="F28" s="6">
        <f t="shared" si="0"/>
        <v>21.875</v>
      </c>
      <c r="G28" s="6"/>
      <c r="H28" s="6">
        <f t="shared" si="1"/>
        <v>0</v>
      </c>
      <c r="I28" s="6"/>
      <c r="J28" s="6">
        <f t="shared" si="2"/>
        <v>0</v>
      </c>
      <c r="K28" s="6">
        <f t="shared" si="3"/>
        <v>21.875</v>
      </c>
    </row>
    <row r="29" spans="1:11" x14ac:dyDescent="0.35">
      <c r="A29" s="35"/>
      <c r="B29" s="20" t="s">
        <v>40</v>
      </c>
      <c r="C29" s="23" t="s">
        <v>13</v>
      </c>
      <c r="D29" s="6">
        <f>D27*0.35</f>
        <v>8.75</v>
      </c>
      <c r="E29" s="6">
        <v>9.6999999999999993</v>
      </c>
      <c r="F29" s="6">
        <f t="shared" si="0"/>
        <v>84.875</v>
      </c>
      <c r="G29" s="6"/>
      <c r="H29" s="6">
        <f t="shared" si="1"/>
        <v>0</v>
      </c>
      <c r="I29" s="6"/>
      <c r="J29" s="6">
        <f t="shared" si="2"/>
        <v>0</v>
      </c>
      <c r="K29" s="6">
        <f t="shared" si="3"/>
        <v>84.875</v>
      </c>
    </row>
    <row r="30" spans="1:11" x14ac:dyDescent="0.35">
      <c r="A30" s="35"/>
      <c r="B30" s="20" t="s">
        <v>41</v>
      </c>
      <c r="C30" s="23" t="s">
        <v>13</v>
      </c>
      <c r="D30" s="6">
        <f>D27*0.15</f>
        <v>3.75</v>
      </c>
      <c r="E30" s="6">
        <v>5</v>
      </c>
      <c r="F30" s="6">
        <f t="shared" si="0"/>
        <v>18.75</v>
      </c>
      <c r="G30" s="6"/>
      <c r="H30" s="6">
        <f t="shared" si="1"/>
        <v>0</v>
      </c>
      <c r="I30" s="6"/>
      <c r="J30" s="6">
        <f t="shared" si="2"/>
        <v>0</v>
      </c>
      <c r="K30" s="6">
        <f t="shared" si="3"/>
        <v>18.75</v>
      </c>
    </row>
    <row r="31" spans="1:11" x14ac:dyDescent="0.35">
      <c r="A31" s="35"/>
      <c r="B31" s="5" t="s">
        <v>30</v>
      </c>
      <c r="C31" s="23" t="s">
        <v>8</v>
      </c>
      <c r="D31" s="6">
        <f>0.009*D27</f>
        <v>0.22499999999999998</v>
      </c>
      <c r="E31" s="6">
        <v>10</v>
      </c>
      <c r="F31" s="6">
        <f t="shared" si="0"/>
        <v>2.25</v>
      </c>
      <c r="G31" s="6"/>
      <c r="H31" s="6">
        <f t="shared" si="1"/>
        <v>0</v>
      </c>
      <c r="I31" s="6"/>
      <c r="J31" s="6">
        <f t="shared" si="2"/>
        <v>0</v>
      </c>
      <c r="K31" s="6">
        <f t="shared" si="3"/>
        <v>2.25</v>
      </c>
    </row>
    <row r="32" spans="1:11" x14ac:dyDescent="0.35">
      <c r="A32" s="35"/>
      <c r="B32" s="5" t="s">
        <v>37</v>
      </c>
      <c r="C32" s="23" t="s">
        <v>10</v>
      </c>
      <c r="D32" s="6">
        <v>1500</v>
      </c>
      <c r="E32" s="6">
        <v>0.2</v>
      </c>
      <c r="F32" s="6">
        <f t="shared" si="0"/>
        <v>300</v>
      </c>
      <c r="G32" s="6"/>
      <c r="H32" s="6">
        <f t="shared" si="1"/>
        <v>0</v>
      </c>
      <c r="I32" s="6"/>
      <c r="J32" s="6">
        <f t="shared" si="2"/>
        <v>0</v>
      </c>
      <c r="K32" s="6">
        <f t="shared" si="3"/>
        <v>300</v>
      </c>
    </row>
    <row r="33" spans="1:11" x14ac:dyDescent="0.35">
      <c r="A33" s="35"/>
      <c r="B33" s="5" t="s">
        <v>36</v>
      </c>
      <c r="C33" s="23" t="s">
        <v>10</v>
      </c>
      <c r="D33" s="6">
        <f>0.5*D27</f>
        <v>12.5</v>
      </c>
      <c r="E33" s="6">
        <v>3</v>
      </c>
      <c r="F33" s="6">
        <f t="shared" si="0"/>
        <v>37.5</v>
      </c>
      <c r="G33" s="6"/>
      <c r="H33" s="6">
        <f t="shared" si="1"/>
        <v>0</v>
      </c>
      <c r="I33" s="6"/>
      <c r="J33" s="6">
        <f t="shared" si="2"/>
        <v>0</v>
      </c>
      <c r="K33" s="6">
        <f t="shared" si="3"/>
        <v>37.5</v>
      </c>
    </row>
    <row r="34" spans="1:11" x14ac:dyDescent="0.35">
      <c r="A34" s="35"/>
      <c r="B34" s="5" t="s">
        <v>11</v>
      </c>
      <c r="C34" s="23" t="s">
        <v>12</v>
      </c>
      <c r="D34" s="6">
        <f>D27*0.01</f>
        <v>0.25</v>
      </c>
      <c r="E34" s="6">
        <v>15</v>
      </c>
      <c r="F34" s="6">
        <f t="shared" si="0"/>
        <v>3.75</v>
      </c>
      <c r="G34" s="6"/>
      <c r="H34" s="6">
        <f t="shared" si="1"/>
        <v>0</v>
      </c>
      <c r="I34" s="6"/>
      <c r="J34" s="6">
        <f t="shared" si="2"/>
        <v>0</v>
      </c>
      <c r="K34" s="6">
        <f t="shared" si="3"/>
        <v>3.75</v>
      </c>
    </row>
    <row r="35" spans="1:11" ht="27" x14ac:dyDescent="0.35">
      <c r="A35" s="35">
        <v>3</v>
      </c>
      <c r="B35" s="9" t="s">
        <v>76</v>
      </c>
      <c r="C35" s="53" t="s">
        <v>23</v>
      </c>
      <c r="D35" s="6">
        <f>1.1</f>
        <v>1.1000000000000001</v>
      </c>
      <c r="E35" s="6"/>
      <c r="F35" s="6">
        <f t="shared" si="0"/>
        <v>0</v>
      </c>
      <c r="G35" s="6">
        <v>25</v>
      </c>
      <c r="H35" s="64">
        <f t="shared" si="1"/>
        <v>27.500000000000004</v>
      </c>
      <c r="I35" s="6">
        <v>20</v>
      </c>
      <c r="J35" s="6">
        <f t="shared" si="2"/>
        <v>22</v>
      </c>
      <c r="K35" s="6">
        <f t="shared" si="3"/>
        <v>49.5</v>
      </c>
    </row>
    <row r="36" spans="1:11" x14ac:dyDescent="0.35">
      <c r="A36" s="22"/>
      <c r="B36" s="7" t="s">
        <v>6</v>
      </c>
      <c r="C36" s="53"/>
      <c r="D36" s="6"/>
      <c r="E36" s="6"/>
      <c r="F36" s="6">
        <f>SUM(F8:F35)</f>
        <v>934.5</v>
      </c>
      <c r="G36" s="6"/>
      <c r="H36" s="6">
        <f>SUM(H8:H35)</f>
        <v>589.5</v>
      </c>
      <c r="I36" s="6"/>
      <c r="J36" s="6">
        <f>SUM(J8:J35)</f>
        <v>34.5</v>
      </c>
      <c r="K36" s="6">
        <f>SUM(K8:K35)</f>
        <v>1558.5</v>
      </c>
    </row>
    <row r="37" spans="1:11" x14ac:dyDescent="0.35">
      <c r="A37" s="8"/>
      <c r="B37" s="13" t="s">
        <v>14</v>
      </c>
      <c r="C37" s="59">
        <v>0.05</v>
      </c>
      <c r="D37" s="16"/>
      <c r="E37" s="15"/>
      <c r="F37" s="16"/>
      <c r="G37" s="16"/>
      <c r="H37" s="16"/>
      <c r="I37" s="16"/>
      <c r="J37" s="15"/>
      <c r="K37" s="16">
        <f>K36*C37</f>
        <v>77.925000000000011</v>
      </c>
    </row>
    <row r="38" spans="1:11" x14ac:dyDescent="0.35">
      <c r="A38" s="8"/>
      <c r="B38" s="18" t="s">
        <v>6</v>
      </c>
      <c r="C38" s="52"/>
      <c r="D38" s="16"/>
      <c r="E38" s="15"/>
      <c r="F38" s="15"/>
      <c r="G38" s="16"/>
      <c r="H38" s="16"/>
      <c r="I38" s="16"/>
      <c r="J38" s="15"/>
      <c r="K38" s="16">
        <f>K37+K36</f>
        <v>1636.425</v>
      </c>
    </row>
    <row r="39" spans="1:11" x14ac:dyDescent="0.35">
      <c r="A39" s="8"/>
      <c r="B39" s="13" t="s">
        <v>15</v>
      </c>
      <c r="C39" s="59">
        <v>0.1</v>
      </c>
      <c r="D39" s="16"/>
      <c r="E39" s="15"/>
      <c r="F39" s="15"/>
      <c r="G39" s="16"/>
      <c r="H39" s="16"/>
      <c r="I39" s="16"/>
      <c r="J39" s="15"/>
      <c r="K39" s="16">
        <f>K38*C39</f>
        <v>163.64250000000001</v>
      </c>
    </row>
    <row r="40" spans="1:11" x14ac:dyDescent="0.35">
      <c r="A40" s="8"/>
      <c r="B40" s="18" t="s">
        <v>6</v>
      </c>
      <c r="C40" s="52"/>
      <c r="D40" s="16"/>
      <c r="E40" s="15"/>
      <c r="F40" s="15"/>
      <c r="G40" s="16"/>
      <c r="H40" s="16"/>
      <c r="I40" s="16"/>
      <c r="J40" s="15"/>
      <c r="K40" s="16">
        <f>SUM(K38:K39)</f>
        <v>1800.0674999999999</v>
      </c>
    </row>
    <row r="41" spans="1:11" x14ac:dyDescent="0.35">
      <c r="A41" s="8"/>
      <c r="B41" s="13" t="s">
        <v>16</v>
      </c>
      <c r="C41" s="59">
        <v>0.08</v>
      </c>
      <c r="D41" s="16"/>
      <c r="E41" s="15"/>
      <c r="F41" s="15"/>
      <c r="G41" s="16"/>
      <c r="H41" s="16"/>
      <c r="I41" s="16"/>
      <c r="J41" s="15"/>
      <c r="K41" s="16">
        <f>K40*C41</f>
        <v>144.00539999999998</v>
      </c>
    </row>
    <row r="42" spans="1:11" x14ac:dyDescent="0.35">
      <c r="A42" s="14"/>
      <c r="B42" s="18" t="s">
        <v>6</v>
      </c>
      <c r="C42" s="52"/>
      <c r="D42" s="16"/>
      <c r="E42" s="15"/>
      <c r="F42" s="15"/>
      <c r="G42" s="16"/>
      <c r="H42" s="16"/>
      <c r="I42" s="16"/>
      <c r="J42" s="15"/>
      <c r="K42" s="16">
        <f>SUM(K40:K41)</f>
        <v>1944.0728999999999</v>
      </c>
    </row>
    <row r="43" spans="1:11" x14ac:dyDescent="0.35">
      <c r="A43" s="14"/>
      <c r="B43" s="13" t="s">
        <v>19</v>
      </c>
      <c r="C43" s="59">
        <v>0.03</v>
      </c>
      <c r="D43" s="16"/>
      <c r="E43" s="15"/>
      <c r="F43" s="15"/>
      <c r="G43" s="16"/>
      <c r="H43" s="16"/>
      <c r="I43" s="16"/>
      <c r="J43" s="15"/>
      <c r="K43" s="16">
        <f>K42*C43</f>
        <v>58.322186999999992</v>
      </c>
    </row>
    <row r="44" spans="1:11" x14ac:dyDescent="0.35">
      <c r="A44" s="14"/>
      <c r="B44" s="13" t="s">
        <v>28</v>
      </c>
      <c r="C44" s="59">
        <v>0.02</v>
      </c>
      <c r="D44" s="16"/>
      <c r="E44" s="15"/>
      <c r="F44" s="15"/>
      <c r="G44" s="16"/>
      <c r="H44" s="16"/>
      <c r="I44" s="16"/>
      <c r="J44" s="15"/>
      <c r="K44" s="16">
        <f>H36*C44</f>
        <v>11.790000000000001</v>
      </c>
    </row>
    <row r="45" spans="1:11" x14ac:dyDescent="0.35">
      <c r="A45" s="14"/>
      <c r="B45" s="18" t="s">
        <v>6</v>
      </c>
      <c r="C45" s="52"/>
      <c r="D45" s="16"/>
      <c r="E45" s="15"/>
      <c r="F45" s="15"/>
      <c r="G45" s="16"/>
      <c r="H45" s="16"/>
      <c r="I45" s="16"/>
      <c r="J45" s="15"/>
      <c r="K45" s="16">
        <f>K44+K43+K42</f>
        <v>2014.1850869999998</v>
      </c>
    </row>
    <row r="46" spans="1:11" x14ac:dyDescent="0.35">
      <c r="A46" s="8"/>
      <c r="B46" s="8" t="s">
        <v>17</v>
      </c>
      <c r="C46" s="59">
        <v>0.18</v>
      </c>
      <c r="D46" s="16"/>
      <c r="E46" s="15"/>
      <c r="F46" s="15"/>
      <c r="G46" s="15"/>
      <c r="H46" s="15"/>
      <c r="I46" s="15"/>
      <c r="J46" s="15"/>
      <c r="K46" s="16">
        <f>K45*C46</f>
        <v>362.55331565999995</v>
      </c>
    </row>
    <row r="47" spans="1:11" x14ac:dyDescent="0.35">
      <c r="A47" s="7"/>
      <c r="B47" s="11" t="s">
        <v>18</v>
      </c>
      <c r="C47" s="54"/>
      <c r="D47" s="7"/>
      <c r="E47" s="7"/>
      <c r="F47" s="7"/>
      <c r="G47" s="7"/>
      <c r="H47" s="7"/>
      <c r="I47" s="7"/>
      <c r="J47" s="7"/>
      <c r="K47" s="25">
        <f>K46+K45</f>
        <v>2376.7384026599998</v>
      </c>
    </row>
    <row r="51" spans="1:11" x14ac:dyDescent="0.35">
      <c r="A51" s="35">
        <v>13</v>
      </c>
      <c r="B51" s="27" t="s">
        <v>77</v>
      </c>
      <c r="C51" s="24" t="s">
        <v>8</v>
      </c>
      <c r="D51" s="61">
        <v>90</v>
      </c>
      <c r="E51" s="61"/>
      <c r="F51" s="31">
        <f t="shared" ref="F51:F66" si="8">E51*D51</f>
        <v>0</v>
      </c>
      <c r="G51" s="61">
        <v>10</v>
      </c>
      <c r="H51" s="31">
        <f t="shared" ref="H51:H66" si="9">G51*D51</f>
        <v>900</v>
      </c>
      <c r="I51" s="61"/>
      <c r="J51" s="31">
        <f t="shared" ref="J51:J66" si="10">I51*D51</f>
        <v>0</v>
      </c>
      <c r="K51" s="31">
        <f t="shared" ref="K51:K66" si="11">J51+H51+F51</f>
        <v>900</v>
      </c>
    </row>
    <row r="52" spans="1:11" x14ac:dyDescent="0.35">
      <c r="A52" s="35"/>
      <c r="B52" s="62" t="s">
        <v>42</v>
      </c>
      <c r="C52" s="24" t="s">
        <v>8</v>
      </c>
      <c r="D52" s="61">
        <f>D50*1.05</f>
        <v>0</v>
      </c>
      <c r="E52" s="61">
        <v>5.6</v>
      </c>
      <c r="F52" s="31">
        <f t="shared" si="8"/>
        <v>0</v>
      </c>
      <c r="G52" s="61"/>
      <c r="H52" s="31">
        <f t="shared" si="9"/>
        <v>0</v>
      </c>
      <c r="I52" s="61"/>
      <c r="J52" s="31">
        <f t="shared" si="10"/>
        <v>0</v>
      </c>
      <c r="K52" s="31">
        <f t="shared" si="11"/>
        <v>0</v>
      </c>
    </row>
    <row r="53" spans="1:11" x14ac:dyDescent="0.35">
      <c r="A53" s="35"/>
      <c r="B53" s="63" t="s">
        <v>78</v>
      </c>
      <c r="C53" s="24" t="s">
        <v>8</v>
      </c>
      <c r="D53" s="61">
        <f>D51*1.05+D50*1.1</f>
        <v>94.5</v>
      </c>
      <c r="E53" s="61">
        <v>5</v>
      </c>
      <c r="F53" s="31">
        <f t="shared" si="8"/>
        <v>472.5</v>
      </c>
      <c r="G53" s="61"/>
      <c r="H53" s="31">
        <f t="shared" si="9"/>
        <v>0</v>
      </c>
      <c r="I53" s="61"/>
      <c r="J53" s="31">
        <f t="shared" si="10"/>
        <v>0</v>
      </c>
      <c r="K53" s="31">
        <f t="shared" si="11"/>
        <v>472.5</v>
      </c>
    </row>
    <row r="54" spans="1:11" ht="27" x14ac:dyDescent="0.35">
      <c r="A54" s="35"/>
      <c r="B54" s="9" t="s">
        <v>79</v>
      </c>
      <c r="C54" s="24" t="s">
        <v>8</v>
      </c>
      <c r="D54" s="61">
        <f>D50</f>
        <v>0</v>
      </c>
      <c r="E54" s="61">
        <v>4</v>
      </c>
      <c r="F54" s="31">
        <f t="shared" si="8"/>
        <v>0</v>
      </c>
      <c r="G54" s="61"/>
      <c r="H54" s="31">
        <f t="shared" si="9"/>
        <v>0</v>
      </c>
      <c r="I54" s="61"/>
      <c r="J54" s="31">
        <f t="shared" si="10"/>
        <v>0</v>
      </c>
      <c r="K54" s="31">
        <f t="shared" si="11"/>
        <v>0</v>
      </c>
    </row>
    <row r="55" spans="1:11" ht="27" x14ac:dyDescent="0.35">
      <c r="A55" s="35"/>
      <c r="B55" s="21" t="s">
        <v>80</v>
      </c>
      <c r="C55" s="24" t="s">
        <v>8</v>
      </c>
      <c r="D55" s="61">
        <f>D51</f>
        <v>90</v>
      </c>
      <c r="E55" s="61">
        <v>4</v>
      </c>
      <c r="F55" s="31">
        <f t="shared" si="8"/>
        <v>360</v>
      </c>
      <c r="G55" s="61"/>
      <c r="H55" s="31">
        <f t="shared" si="9"/>
        <v>0</v>
      </c>
      <c r="I55" s="61"/>
      <c r="J55" s="31">
        <f t="shared" si="10"/>
        <v>0</v>
      </c>
      <c r="K55" s="31">
        <f t="shared" si="11"/>
        <v>360</v>
      </c>
    </row>
    <row r="56" spans="1:11" x14ac:dyDescent="0.35">
      <c r="A56" s="35"/>
      <c r="B56" s="21" t="s">
        <v>81</v>
      </c>
      <c r="C56" s="24" t="s">
        <v>8</v>
      </c>
      <c r="D56" s="61">
        <f>D50</f>
        <v>0</v>
      </c>
      <c r="E56" s="61">
        <v>9</v>
      </c>
      <c r="F56" s="31">
        <f t="shared" si="8"/>
        <v>0</v>
      </c>
      <c r="G56" s="61"/>
      <c r="H56" s="31">
        <f t="shared" si="9"/>
        <v>0</v>
      </c>
      <c r="I56" s="61"/>
      <c r="J56" s="31">
        <f t="shared" si="10"/>
        <v>0</v>
      </c>
      <c r="K56" s="31">
        <f t="shared" si="11"/>
        <v>0</v>
      </c>
    </row>
    <row r="57" spans="1:11" x14ac:dyDescent="0.35">
      <c r="A57" s="35"/>
      <c r="B57" s="21" t="s">
        <v>39</v>
      </c>
      <c r="C57" s="24" t="s">
        <v>10</v>
      </c>
      <c r="D57" s="61">
        <v>12</v>
      </c>
      <c r="E57" s="61">
        <v>12</v>
      </c>
      <c r="F57" s="31">
        <f t="shared" si="8"/>
        <v>144</v>
      </c>
      <c r="G57" s="61"/>
      <c r="H57" s="31">
        <f t="shared" si="9"/>
        <v>0</v>
      </c>
      <c r="I57" s="61"/>
      <c r="J57" s="31">
        <f t="shared" si="10"/>
        <v>0</v>
      </c>
      <c r="K57" s="31">
        <f t="shared" si="11"/>
        <v>144</v>
      </c>
    </row>
    <row r="58" spans="1:11" x14ac:dyDescent="0.35">
      <c r="A58" s="35"/>
      <c r="B58" s="21" t="s">
        <v>11</v>
      </c>
      <c r="C58" s="24" t="s">
        <v>12</v>
      </c>
      <c r="D58" s="61">
        <f>D50*0.1+D51*0.08</f>
        <v>7.2</v>
      </c>
      <c r="E58" s="61">
        <v>5</v>
      </c>
      <c r="F58" s="31">
        <f t="shared" si="8"/>
        <v>36</v>
      </c>
      <c r="G58" s="61"/>
      <c r="H58" s="31">
        <f t="shared" si="9"/>
        <v>0</v>
      </c>
      <c r="I58" s="61"/>
      <c r="J58" s="31">
        <f t="shared" si="10"/>
        <v>0</v>
      </c>
      <c r="K58" s="31">
        <f t="shared" si="11"/>
        <v>36</v>
      </c>
    </row>
    <row r="59" spans="1:11" x14ac:dyDescent="0.35">
      <c r="A59" s="35">
        <v>14</v>
      </c>
      <c r="B59" s="19" t="s">
        <v>82</v>
      </c>
      <c r="C59" s="24" t="s">
        <v>8</v>
      </c>
      <c r="D59" s="61">
        <v>1650</v>
      </c>
      <c r="E59" s="31"/>
      <c r="F59" s="31">
        <f t="shared" si="8"/>
        <v>0</v>
      </c>
      <c r="G59" s="31">
        <v>8</v>
      </c>
      <c r="H59" s="31">
        <f t="shared" si="9"/>
        <v>13200</v>
      </c>
      <c r="I59" s="31"/>
      <c r="J59" s="31">
        <f t="shared" si="10"/>
        <v>0</v>
      </c>
      <c r="K59" s="31">
        <f t="shared" si="11"/>
        <v>13200</v>
      </c>
    </row>
    <row r="60" spans="1:11" x14ac:dyDescent="0.35">
      <c r="A60" s="35"/>
      <c r="B60" s="5" t="s">
        <v>29</v>
      </c>
      <c r="C60" s="23" t="s">
        <v>13</v>
      </c>
      <c r="D60" s="31">
        <f>0.7*D59</f>
        <v>1155</v>
      </c>
      <c r="E60" s="31">
        <v>1.25</v>
      </c>
      <c r="F60" s="31">
        <f t="shared" si="8"/>
        <v>1443.75</v>
      </c>
      <c r="G60" s="31"/>
      <c r="H60" s="31">
        <f t="shared" si="9"/>
        <v>0</v>
      </c>
      <c r="I60" s="31"/>
      <c r="J60" s="31">
        <f t="shared" si="10"/>
        <v>0</v>
      </c>
      <c r="K60" s="31">
        <f t="shared" si="11"/>
        <v>1443.75</v>
      </c>
    </row>
    <row r="61" spans="1:11" x14ac:dyDescent="0.35">
      <c r="A61" s="35"/>
      <c r="B61" s="20" t="s">
        <v>40</v>
      </c>
      <c r="C61" s="23" t="s">
        <v>13</v>
      </c>
      <c r="D61" s="31">
        <f>D59*0.35</f>
        <v>577.5</v>
      </c>
      <c r="E61" s="31">
        <v>9.6999999999999993</v>
      </c>
      <c r="F61" s="31">
        <f t="shared" si="8"/>
        <v>5601.75</v>
      </c>
      <c r="G61" s="31"/>
      <c r="H61" s="31">
        <f t="shared" si="9"/>
        <v>0</v>
      </c>
      <c r="I61" s="31"/>
      <c r="J61" s="31">
        <f t="shared" si="10"/>
        <v>0</v>
      </c>
      <c r="K61" s="31">
        <f t="shared" si="11"/>
        <v>5601.75</v>
      </c>
    </row>
    <row r="62" spans="1:11" x14ac:dyDescent="0.35">
      <c r="A62" s="35"/>
      <c r="B62" s="20" t="s">
        <v>41</v>
      </c>
      <c r="C62" s="23" t="s">
        <v>13</v>
      </c>
      <c r="D62" s="31">
        <f>D59*0.15</f>
        <v>247.5</v>
      </c>
      <c r="E62" s="31">
        <v>5</v>
      </c>
      <c r="F62" s="31">
        <f t="shared" si="8"/>
        <v>1237.5</v>
      </c>
      <c r="G62" s="31"/>
      <c r="H62" s="31">
        <f t="shared" si="9"/>
        <v>0</v>
      </c>
      <c r="I62" s="31"/>
      <c r="J62" s="31">
        <f t="shared" si="10"/>
        <v>0</v>
      </c>
      <c r="K62" s="31">
        <f t="shared" si="11"/>
        <v>1237.5</v>
      </c>
    </row>
    <row r="63" spans="1:11" x14ac:dyDescent="0.35">
      <c r="A63" s="35"/>
      <c r="B63" s="5" t="s">
        <v>30</v>
      </c>
      <c r="C63" s="23" t="s">
        <v>8</v>
      </c>
      <c r="D63" s="31">
        <f>0.009*D59</f>
        <v>14.85</v>
      </c>
      <c r="E63" s="31">
        <v>10</v>
      </c>
      <c r="F63" s="31">
        <f t="shared" si="8"/>
        <v>148.5</v>
      </c>
      <c r="G63" s="31"/>
      <c r="H63" s="31">
        <f t="shared" si="9"/>
        <v>0</v>
      </c>
      <c r="I63" s="31"/>
      <c r="J63" s="31">
        <f t="shared" si="10"/>
        <v>0</v>
      </c>
      <c r="K63" s="31">
        <f t="shared" si="11"/>
        <v>148.5</v>
      </c>
    </row>
    <row r="64" spans="1:11" x14ac:dyDescent="0.35">
      <c r="A64" s="35"/>
      <c r="B64" s="5" t="s">
        <v>37</v>
      </c>
      <c r="C64" s="23" t="s">
        <v>10</v>
      </c>
      <c r="D64" s="31">
        <v>1500</v>
      </c>
      <c r="E64" s="31">
        <v>0.2</v>
      </c>
      <c r="F64" s="31">
        <f t="shared" si="8"/>
        <v>300</v>
      </c>
      <c r="G64" s="31"/>
      <c r="H64" s="31">
        <f t="shared" si="9"/>
        <v>0</v>
      </c>
      <c r="I64" s="31"/>
      <c r="J64" s="31">
        <f t="shared" si="10"/>
        <v>0</v>
      </c>
      <c r="K64" s="31">
        <f t="shared" si="11"/>
        <v>300</v>
      </c>
    </row>
    <row r="65" spans="1:11" x14ac:dyDescent="0.35">
      <c r="A65" s="35"/>
      <c r="B65" s="5" t="s">
        <v>36</v>
      </c>
      <c r="C65" s="23" t="s">
        <v>10</v>
      </c>
      <c r="D65" s="31">
        <f>0.5*D59</f>
        <v>825</v>
      </c>
      <c r="E65" s="31">
        <v>3</v>
      </c>
      <c r="F65" s="31">
        <f t="shared" si="8"/>
        <v>2475</v>
      </c>
      <c r="G65" s="31"/>
      <c r="H65" s="31">
        <f t="shared" si="9"/>
        <v>0</v>
      </c>
      <c r="I65" s="31"/>
      <c r="J65" s="31">
        <f t="shared" si="10"/>
        <v>0</v>
      </c>
      <c r="K65" s="31">
        <f t="shared" si="11"/>
        <v>2475</v>
      </c>
    </row>
    <row r="66" spans="1:11" x14ac:dyDescent="0.35">
      <c r="A66" s="35"/>
      <c r="B66" s="5" t="s">
        <v>11</v>
      </c>
      <c r="C66" s="23" t="s">
        <v>12</v>
      </c>
      <c r="D66" s="31">
        <f>D59*0.01</f>
        <v>16.5</v>
      </c>
      <c r="E66" s="31">
        <v>15</v>
      </c>
      <c r="F66" s="31">
        <f t="shared" si="8"/>
        <v>247.5</v>
      </c>
      <c r="G66" s="31"/>
      <c r="H66" s="31">
        <f t="shared" si="9"/>
        <v>0</v>
      </c>
      <c r="I66" s="31"/>
      <c r="J66" s="31">
        <f t="shared" si="10"/>
        <v>0</v>
      </c>
      <c r="K66" s="31">
        <f t="shared" si="11"/>
        <v>247.5</v>
      </c>
    </row>
  </sheetData>
  <mergeCells count="13">
    <mergeCell ref="I5:J5"/>
    <mergeCell ref="K5:K6"/>
    <mergeCell ref="A5:A6"/>
    <mergeCell ref="B5:B6"/>
    <mergeCell ref="C5:C6"/>
    <mergeCell ref="D5:D6"/>
    <mergeCell ref="E5:F5"/>
    <mergeCell ref="G5:H5"/>
    <mergeCell ref="B2:K2"/>
    <mergeCell ref="A3:K3"/>
    <mergeCell ref="E4:H4"/>
    <mergeCell ref="A1:K1"/>
    <mergeCell ref="I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4.9989318521683403E-2"/>
  </sheetPr>
  <dimension ref="A1:K44"/>
  <sheetViews>
    <sheetView workbookViewId="0">
      <selection activeCell="A3" sqref="A3:XFD3"/>
    </sheetView>
  </sheetViews>
  <sheetFormatPr defaultColWidth="8.7265625" defaultRowHeight="14.5" x14ac:dyDescent="0.35"/>
  <cols>
    <col min="1" max="1" width="4" customWidth="1"/>
    <col min="2" max="2" width="69.36328125" customWidth="1"/>
    <col min="3" max="3" width="6.6328125" customWidth="1"/>
    <col min="4" max="4" width="12" customWidth="1"/>
    <col min="9" max="9" width="10.36328125" customWidth="1"/>
    <col min="11" max="11" width="12.6328125" customWidth="1"/>
  </cols>
  <sheetData>
    <row r="1" spans="1:11" ht="15.75" customHeight="1" x14ac:dyDescent="0.35">
      <c r="A1" s="177" t="s">
        <v>44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pans="1:11" x14ac:dyDescent="0.35">
      <c r="A2" s="43"/>
      <c r="B2" s="175" t="s">
        <v>58</v>
      </c>
      <c r="C2" s="175"/>
      <c r="D2" s="175"/>
      <c r="E2" s="175"/>
      <c r="F2" s="175"/>
      <c r="G2" s="175"/>
      <c r="H2" s="175"/>
      <c r="I2" s="175"/>
      <c r="J2" s="175"/>
      <c r="K2" s="175"/>
    </row>
    <row r="3" spans="1:11" x14ac:dyDescent="0.35">
      <c r="A3" s="176" t="s">
        <v>35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</row>
    <row r="4" spans="1:11" x14ac:dyDescent="0.35">
      <c r="A4" s="44"/>
      <c r="B4" s="45" t="s">
        <v>45</v>
      </c>
      <c r="C4" s="46"/>
      <c r="D4" s="46"/>
      <c r="E4" s="154" t="s">
        <v>22</v>
      </c>
      <c r="F4" s="154"/>
      <c r="G4" s="154"/>
      <c r="H4" s="154"/>
      <c r="I4" s="178">
        <f>K44</f>
        <v>25615.932543717405</v>
      </c>
      <c r="J4" s="178"/>
      <c r="K4" s="178"/>
    </row>
    <row r="5" spans="1:11" x14ac:dyDescent="0.35">
      <c r="A5" s="179" t="s">
        <v>26</v>
      </c>
      <c r="B5" s="162" t="s">
        <v>0</v>
      </c>
      <c r="C5" s="162" t="s">
        <v>1</v>
      </c>
      <c r="D5" s="166" t="s">
        <v>2</v>
      </c>
      <c r="E5" s="168" t="s">
        <v>3</v>
      </c>
      <c r="F5" s="169"/>
      <c r="G5" s="168" t="s">
        <v>4</v>
      </c>
      <c r="H5" s="169"/>
      <c r="I5" s="160" t="s">
        <v>5</v>
      </c>
      <c r="J5" s="161"/>
      <c r="K5" s="162" t="s">
        <v>6</v>
      </c>
    </row>
    <row r="6" spans="1:11" ht="15.75" customHeight="1" x14ac:dyDescent="0.35">
      <c r="A6" s="180"/>
      <c r="B6" s="163"/>
      <c r="C6" s="163"/>
      <c r="D6" s="167"/>
      <c r="E6" s="52" t="s">
        <v>7</v>
      </c>
      <c r="F6" s="52" t="s">
        <v>6</v>
      </c>
      <c r="G6" s="52" t="s">
        <v>7</v>
      </c>
      <c r="H6" s="52" t="s">
        <v>6</v>
      </c>
      <c r="I6" s="52" t="s">
        <v>7</v>
      </c>
      <c r="J6" s="52" t="s">
        <v>6</v>
      </c>
      <c r="K6" s="163"/>
    </row>
    <row r="7" spans="1:11" x14ac:dyDescent="0.35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 x14ac:dyDescent="0.35">
      <c r="A8" s="7"/>
      <c r="B8" s="10" t="s">
        <v>20</v>
      </c>
      <c r="C8" s="58"/>
      <c r="D8" s="17"/>
      <c r="E8" s="17"/>
      <c r="F8" s="17"/>
      <c r="G8" s="17"/>
      <c r="H8" s="17"/>
      <c r="I8" s="17"/>
      <c r="J8" s="17"/>
      <c r="K8" s="17"/>
    </row>
    <row r="9" spans="1:11" x14ac:dyDescent="0.35">
      <c r="A9" s="35">
        <v>1</v>
      </c>
      <c r="B9" s="20" t="s">
        <v>57</v>
      </c>
      <c r="C9" s="53" t="s">
        <v>73</v>
      </c>
      <c r="D9" s="31">
        <v>62</v>
      </c>
      <c r="E9" s="6"/>
      <c r="F9" s="6">
        <f t="shared" ref="F9:F32" si="0">E9*D9</f>
        <v>0</v>
      </c>
      <c r="G9" s="6">
        <v>3</v>
      </c>
      <c r="H9" s="6">
        <f t="shared" ref="H9:H32" si="1">G9*D9</f>
        <v>186</v>
      </c>
      <c r="I9" s="6">
        <v>0.08</v>
      </c>
      <c r="J9" s="6">
        <f t="shared" ref="J9:J32" si="2">I9*D9</f>
        <v>4.96</v>
      </c>
      <c r="K9" s="6">
        <f t="shared" ref="K9:K32" si="3">J9+H9+F9</f>
        <v>190.96</v>
      </c>
    </row>
    <row r="10" spans="1:11" x14ac:dyDescent="0.35">
      <c r="A10" s="35">
        <v>2</v>
      </c>
      <c r="B10" s="20" t="s">
        <v>59</v>
      </c>
      <c r="C10" s="53" t="s">
        <v>73</v>
      </c>
      <c r="D10" s="31">
        <v>45</v>
      </c>
      <c r="E10" s="6"/>
      <c r="F10" s="6">
        <f t="shared" si="0"/>
        <v>0</v>
      </c>
      <c r="G10" s="6">
        <v>3</v>
      </c>
      <c r="H10" s="6">
        <f t="shared" si="1"/>
        <v>135</v>
      </c>
      <c r="I10" s="6">
        <v>0.01</v>
      </c>
      <c r="J10" s="6">
        <f t="shared" si="2"/>
        <v>0.45</v>
      </c>
      <c r="K10" s="6">
        <f t="shared" si="3"/>
        <v>135.44999999999999</v>
      </c>
    </row>
    <row r="11" spans="1:11" x14ac:dyDescent="0.35">
      <c r="A11" s="35">
        <v>3</v>
      </c>
      <c r="B11" s="9" t="s">
        <v>24</v>
      </c>
      <c r="C11" s="53" t="s">
        <v>74</v>
      </c>
      <c r="D11" s="6">
        <v>25.8</v>
      </c>
      <c r="E11" s="6"/>
      <c r="F11" s="6">
        <f t="shared" si="0"/>
        <v>0</v>
      </c>
      <c r="G11" s="6">
        <v>55</v>
      </c>
      <c r="H11" s="6">
        <f t="shared" si="1"/>
        <v>1419</v>
      </c>
      <c r="I11" s="6">
        <v>25</v>
      </c>
      <c r="J11" s="6">
        <f t="shared" si="2"/>
        <v>645</v>
      </c>
      <c r="K11" s="6">
        <f t="shared" si="3"/>
        <v>2064</v>
      </c>
    </row>
    <row r="12" spans="1:11" x14ac:dyDescent="0.35">
      <c r="A12" s="35">
        <v>4</v>
      </c>
      <c r="B12" s="9" t="s">
        <v>25</v>
      </c>
      <c r="C12" s="53" t="s">
        <v>23</v>
      </c>
      <c r="D12" s="6">
        <f>D11*1.5</f>
        <v>38.700000000000003</v>
      </c>
      <c r="E12" s="6"/>
      <c r="F12" s="6">
        <f t="shared" si="0"/>
        <v>0</v>
      </c>
      <c r="G12" s="6">
        <v>25</v>
      </c>
      <c r="H12" s="6">
        <f t="shared" si="1"/>
        <v>967.50000000000011</v>
      </c>
      <c r="I12" s="6">
        <v>20</v>
      </c>
      <c r="J12" s="6">
        <f t="shared" si="2"/>
        <v>774</v>
      </c>
      <c r="K12" s="6">
        <f t="shared" si="3"/>
        <v>1741.5</v>
      </c>
    </row>
    <row r="13" spans="1:11" x14ac:dyDescent="0.35">
      <c r="A13" s="35"/>
      <c r="B13" s="10" t="s">
        <v>21</v>
      </c>
      <c r="C13" s="53"/>
      <c r="D13" s="6"/>
      <c r="E13" s="6"/>
      <c r="F13" s="6">
        <f t="shared" si="0"/>
        <v>0</v>
      </c>
      <c r="G13" s="6"/>
      <c r="H13" s="6">
        <f t="shared" si="1"/>
        <v>0</v>
      </c>
      <c r="I13" s="6"/>
      <c r="J13" s="6">
        <f t="shared" si="2"/>
        <v>0</v>
      </c>
      <c r="K13" s="6">
        <f t="shared" si="3"/>
        <v>0</v>
      </c>
    </row>
    <row r="14" spans="1:11" x14ac:dyDescent="0.35">
      <c r="A14" s="35">
        <v>1</v>
      </c>
      <c r="B14" s="38" t="s">
        <v>60</v>
      </c>
      <c r="C14" s="53" t="s">
        <v>8</v>
      </c>
      <c r="D14" s="6">
        <v>62</v>
      </c>
      <c r="E14" s="41"/>
      <c r="F14" s="6">
        <f t="shared" si="0"/>
        <v>0</v>
      </c>
      <c r="G14" s="6">
        <v>15</v>
      </c>
      <c r="H14" s="6">
        <f t="shared" si="1"/>
        <v>930</v>
      </c>
      <c r="I14" s="41"/>
      <c r="J14" s="6">
        <f t="shared" si="2"/>
        <v>0</v>
      </c>
      <c r="K14" s="6">
        <f t="shared" si="3"/>
        <v>930</v>
      </c>
    </row>
    <row r="15" spans="1:11" x14ac:dyDescent="0.35">
      <c r="A15" s="39"/>
      <c r="B15" s="9" t="s">
        <v>61</v>
      </c>
      <c r="C15" s="53" t="s">
        <v>8</v>
      </c>
      <c r="D15" s="6">
        <f>D14*1.1</f>
        <v>68.2</v>
      </c>
      <c r="E15" s="6">
        <v>10</v>
      </c>
      <c r="F15" s="6">
        <f t="shared" si="0"/>
        <v>682</v>
      </c>
      <c r="G15" s="6"/>
      <c r="H15" s="6">
        <f t="shared" si="1"/>
        <v>0</v>
      </c>
      <c r="I15" s="6">
        <v>1</v>
      </c>
      <c r="J15" s="6">
        <f t="shared" si="2"/>
        <v>68.2</v>
      </c>
      <c r="K15" s="6">
        <f t="shared" si="3"/>
        <v>750.2</v>
      </c>
    </row>
    <row r="16" spans="1:11" x14ac:dyDescent="0.35">
      <c r="A16" s="39"/>
      <c r="B16" s="40" t="s">
        <v>62</v>
      </c>
      <c r="C16" s="53" t="s">
        <v>10</v>
      </c>
      <c r="D16" s="6">
        <f>D14*1.1</f>
        <v>68.2</v>
      </c>
      <c r="E16" s="6">
        <v>5</v>
      </c>
      <c r="F16" s="6">
        <f t="shared" si="0"/>
        <v>341</v>
      </c>
      <c r="G16" s="6"/>
      <c r="H16" s="6">
        <f t="shared" si="1"/>
        <v>0</v>
      </c>
      <c r="I16" s="6">
        <v>0.1</v>
      </c>
      <c r="J16" s="6">
        <f t="shared" si="2"/>
        <v>6.82</v>
      </c>
      <c r="K16" s="6">
        <f t="shared" si="3"/>
        <v>347.82</v>
      </c>
    </row>
    <row r="17" spans="1:11" x14ac:dyDescent="0.35">
      <c r="A17" s="39"/>
      <c r="B17" s="20" t="s">
        <v>63</v>
      </c>
      <c r="C17" s="53" t="s">
        <v>27</v>
      </c>
      <c r="D17" s="6">
        <f>D14*10</f>
        <v>620</v>
      </c>
      <c r="E17" s="6">
        <v>0.03</v>
      </c>
      <c r="F17" s="6">
        <f t="shared" si="0"/>
        <v>18.599999999999998</v>
      </c>
      <c r="G17" s="6"/>
      <c r="H17" s="6">
        <f t="shared" si="1"/>
        <v>0</v>
      </c>
      <c r="I17" s="6">
        <v>0.01</v>
      </c>
      <c r="J17" s="6">
        <f t="shared" si="2"/>
        <v>6.2</v>
      </c>
      <c r="K17" s="6">
        <f t="shared" si="3"/>
        <v>24.799999999999997</v>
      </c>
    </row>
    <row r="18" spans="1:11" x14ac:dyDescent="0.35">
      <c r="A18" s="39"/>
      <c r="B18" s="9" t="s">
        <v>11</v>
      </c>
      <c r="C18" s="53" t="s">
        <v>12</v>
      </c>
      <c r="D18" s="6">
        <f>D14*0.5</f>
        <v>31</v>
      </c>
      <c r="E18" s="6">
        <v>4</v>
      </c>
      <c r="F18" s="6">
        <f t="shared" si="0"/>
        <v>124</v>
      </c>
      <c r="G18" s="6"/>
      <c r="H18" s="6">
        <f t="shared" si="1"/>
        <v>0</v>
      </c>
      <c r="I18" s="6"/>
      <c r="J18" s="6">
        <f t="shared" si="2"/>
        <v>0</v>
      </c>
      <c r="K18" s="6">
        <f t="shared" si="3"/>
        <v>124</v>
      </c>
    </row>
    <row r="19" spans="1:11" x14ac:dyDescent="0.35">
      <c r="A19" s="35">
        <v>2</v>
      </c>
      <c r="B19" s="19" t="s">
        <v>64</v>
      </c>
      <c r="C19" s="55" t="s">
        <v>8</v>
      </c>
      <c r="D19" s="28">
        <v>250</v>
      </c>
      <c r="E19" s="6"/>
      <c r="F19" s="6">
        <f t="shared" si="0"/>
        <v>0</v>
      </c>
      <c r="G19" s="6">
        <v>15</v>
      </c>
      <c r="H19" s="6">
        <f t="shared" si="1"/>
        <v>3750</v>
      </c>
      <c r="I19" s="6"/>
      <c r="J19" s="6">
        <f t="shared" si="2"/>
        <v>0</v>
      </c>
      <c r="K19" s="6">
        <f t="shared" si="3"/>
        <v>3750</v>
      </c>
    </row>
    <row r="20" spans="1:11" x14ac:dyDescent="0.35">
      <c r="A20" s="35"/>
      <c r="B20" s="33" t="s">
        <v>29</v>
      </c>
      <c r="C20" s="53" t="s">
        <v>13</v>
      </c>
      <c r="D20" s="31">
        <f>0.7*45</f>
        <v>31.499999999999996</v>
      </c>
      <c r="E20" s="6">
        <v>0.9</v>
      </c>
      <c r="F20" s="6">
        <f t="shared" si="0"/>
        <v>28.349999999999998</v>
      </c>
      <c r="G20" s="6"/>
      <c r="H20" s="6">
        <f t="shared" si="1"/>
        <v>0</v>
      </c>
      <c r="I20" s="6">
        <v>0.1</v>
      </c>
      <c r="J20" s="6">
        <f t="shared" si="2"/>
        <v>3.15</v>
      </c>
      <c r="K20" s="6">
        <f t="shared" si="3"/>
        <v>31.499999999999996</v>
      </c>
    </row>
    <row r="21" spans="1:11" x14ac:dyDescent="0.35">
      <c r="A21" s="35"/>
      <c r="B21" s="20" t="s">
        <v>50</v>
      </c>
      <c r="C21" s="53" t="s">
        <v>13</v>
      </c>
      <c r="D21" s="31">
        <f>D19*0.35</f>
        <v>87.5</v>
      </c>
      <c r="E21" s="6">
        <v>12</v>
      </c>
      <c r="F21" s="6">
        <f t="shared" si="0"/>
        <v>1050</v>
      </c>
      <c r="G21" s="6"/>
      <c r="H21" s="6">
        <f t="shared" si="1"/>
        <v>0</v>
      </c>
      <c r="I21" s="6">
        <v>0.1</v>
      </c>
      <c r="J21" s="6">
        <f t="shared" si="2"/>
        <v>8.75</v>
      </c>
      <c r="K21" s="6">
        <f t="shared" si="3"/>
        <v>1058.75</v>
      </c>
    </row>
    <row r="22" spans="1:11" x14ac:dyDescent="0.35">
      <c r="A22" s="35"/>
      <c r="B22" s="20" t="s">
        <v>41</v>
      </c>
      <c r="C22" s="53" t="s">
        <v>13</v>
      </c>
      <c r="D22" s="31">
        <f>D19*0.15</f>
        <v>37.5</v>
      </c>
      <c r="E22" s="6">
        <v>5</v>
      </c>
      <c r="F22" s="6">
        <f t="shared" si="0"/>
        <v>187.5</v>
      </c>
      <c r="G22" s="6"/>
      <c r="H22" s="6">
        <f t="shared" si="1"/>
        <v>0</v>
      </c>
      <c r="I22" s="6">
        <v>0.1</v>
      </c>
      <c r="J22" s="6">
        <f t="shared" si="2"/>
        <v>3.75</v>
      </c>
      <c r="K22" s="6">
        <f t="shared" si="3"/>
        <v>191.25</v>
      </c>
    </row>
    <row r="23" spans="1:11" x14ac:dyDescent="0.35">
      <c r="A23" s="35"/>
      <c r="B23" s="33" t="s">
        <v>30</v>
      </c>
      <c r="C23" s="53" t="s">
        <v>8</v>
      </c>
      <c r="D23" s="6">
        <f>0.009*D19</f>
        <v>2.25</v>
      </c>
      <c r="E23" s="6">
        <v>25</v>
      </c>
      <c r="F23" s="6">
        <f t="shared" si="0"/>
        <v>56.25</v>
      </c>
      <c r="G23" s="6"/>
      <c r="H23" s="6">
        <f t="shared" si="1"/>
        <v>0</v>
      </c>
      <c r="I23" s="6">
        <v>0.1</v>
      </c>
      <c r="J23" s="6">
        <f t="shared" si="2"/>
        <v>0.22500000000000001</v>
      </c>
      <c r="K23" s="6">
        <f t="shared" si="3"/>
        <v>56.475000000000001</v>
      </c>
    </row>
    <row r="24" spans="1:11" x14ac:dyDescent="0.35">
      <c r="A24" s="35"/>
      <c r="B24" s="33" t="s">
        <v>36</v>
      </c>
      <c r="C24" s="53" t="s">
        <v>10</v>
      </c>
      <c r="D24" s="31">
        <f>0.5*D19</f>
        <v>125</v>
      </c>
      <c r="E24" s="6">
        <v>1.4</v>
      </c>
      <c r="F24" s="6">
        <f t="shared" si="0"/>
        <v>175</v>
      </c>
      <c r="G24" s="6"/>
      <c r="H24" s="6">
        <f t="shared" si="1"/>
        <v>0</v>
      </c>
      <c r="I24" s="6">
        <v>0.01</v>
      </c>
      <c r="J24" s="6">
        <f t="shared" si="2"/>
        <v>1.25</v>
      </c>
      <c r="K24" s="6">
        <f t="shared" si="3"/>
        <v>176.25</v>
      </c>
    </row>
    <row r="25" spans="1:11" x14ac:dyDescent="0.35">
      <c r="A25" s="35"/>
      <c r="B25" s="33" t="s">
        <v>11</v>
      </c>
      <c r="C25" s="53" t="s">
        <v>12</v>
      </c>
      <c r="D25" s="6">
        <f>D19*0.01</f>
        <v>2.5</v>
      </c>
      <c r="E25" s="6">
        <v>8</v>
      </c>
      <c r="F25" s="6">
        <f t="shared" si="0"/>
        <v>20</v>
      </c>
      <c r="G25" s="6"/>
      <c r="H25" s="6">
        <f t="shared" si="1"/>
        <v>0</v>
      </c>
      <c r="I25" s="6"/>
      <c r="J25" s="6">
        <f t="shared" si="2"/>
        <v>0</v>
      </c>
      <c r="K25" s="6">
        <f t="shared" si="3"/>
        <v>20</v>
      </c>
    </row>
    <row r="26" spans="1:11" x14ac:dyDescent="0.35">
      <c r="A26" s="35">
        <v>3</v>
      </c>
      <c r="B26" s="12" t="s">
        <v>31</v>
      </c>
      <c r="C26" s="55" t="s">
        <v>10</v>
      </c>
      <c r="D26" s="28">
        <v>110</v>
      </c>
      <c r="E26" s="6"/>
      <c r="F26" s="6">
        <f t="shared" si="0"/>
        <v>0</v>
      </c>
      <c r="G26" s="6">
        <v>7</v>
      </c>
      <c r="H26" s="6">
        <f t="shared" si="1"/>
        <v>770</v>
      </c>
      <c r="I26" s="6"/>
      <c r="J26" s="6">
        <f t="shared" si="2"/>
        <v>0</v>
      </c>
      <c r="K26" s="6">
        <f t="shared" si="3"/>
        <v>770</v>
      </c>
    </row>
    <row r="27" spans="1:11" x14ac:dyDescent="0.35">
      <c r="A27" s="35"/>
      <c r="B27" s="5" t="s">
        <v>32</v>
      </c>
      <c r="C27" s="53" t="s">
        <v>10</v>
      </c>
      <c r="D27" s="6">
        <f>1.03*D26</f>
        <v>113.3</v>
      </c>
      <c r="E27" s="6">
        <v>11</v>
      </c>
      <c r="F27" s="6">
        <f t="shared" si="0"/>
        <v>1246.3</v>
      </c>
      <c r="G27" s="6"/>
      <c r="H27" s="6">
        <f t="shared" si="1"/>
        <v>0</v>
      </c>
      <c r="I27" s="6">
        <v>0.2</v>
      </c>
      <c r="J27" s="6">
        <f t="shared" si="2"/>
        <v>22.66</v>
      </c>
      <c r="K27" s="6">
        <f t="shared" si="3"/>
        <v>1268.96</v>
      </c>
    </row>
    <row r="28" spans="1:11" x14ac:dyDescent="0.35">
      <c r="A28" s="35"/>
      <c r="B28" s="5" t="s">
        <v>34</v>
      </c>
      <c r="C28" s="53" t="s">
        <v>27</v>
      </c>
      <c r="D28" s="6">
        <f>D26*4</f>
        <v>440</v>
      </c>
      <c r="E28" s="6">
        <v>0.04</v>
      </c>
      <c r="F28" s="6">
        <f t="shared" si="0"/>
        <v>17.600000000000001</v>
      </c>
      <c r="G28" s="6"/>
      <c r="H28" s="6">
        <f t="shared" si="1"/>
        <v>0</v>
      </c>
      <c r="I28" s="6">
        <v>0.01</v>
      </c>
      <c r="J28" s="6">
        <f t="shared" si="2"/>
        <v>4.4000000000000004</v>
      </c>
      <c r="K28" s="6">
        <f t="shared" si="3"/>
        <v>22</v>
      </c>
    </row>
    <row r="29" spans="1:11" x14ac:dyDescent="0.35">
      <c r="A29" s="35"/>
      <c r="B29" s="5" t="s">
        <v>33</v>
      </c>
      <c r="C29" s="53" t="s">
        <v>27</v>
      </c>
      <c r="D29" s="6">
        <v>15</v>
      </c>
      <c r="E29" s="6">
        <v>14</v>
      </c>
      <c r="F29" s="6">
        <f t="shared" si="0"/>
        <v>210</v>
      </c>
      <c r="G29" s="6"/>
      <c r="H29" s="6">
        <f t="shared" si="1"/>
        <v>0</v>
      </c>
      <c r="I29" s="6">
        <v>0.1</v>
      </c>
      <c r="J29" s="6">
        <f t="shared" si="2"/>
        <v>1.5</v>
      </c>
      <c r="K29" s="6">
        <f t="shared" si="3"/>
        <v>211.5</v>
      </c>
    </row>
    <row r="30" spans="1:11" x14ac:dyDescent="0.35">
      <c r="A30" s="35"/>
      <c r="B30" s="5" t="s">
        <v>11</v>
      </c>
      <c r="C30" s="53" t="s">
        <v>12</v>
      </c>
      <c r="D30" s="6">
        <f>D26*0.03</f>
        <v>3.3</v>
      </c>
      <c r="E30" s="6">
        <v>8</v>
      </c>
      <c r="F30" s="6">
        <f t="shared" si="0"/>
        <v>26.4</v>
      </c>
      <c r="G30" s="6"/>
      <c r="H30" s="6">
        <f t="shared" si="1"/>
        <v>0</v>
      </c>
      <c r="I30" s="6"/>
      <c r="J30" s="6">
        <f t="shared" si="2"/>
        <v>0</v>
      </c>
      <c r="K30" s="6">
        <f t="shared" si="3"/>
        <v>26.4</v>
      </c>
    </row>
    <row r="31" spans="1:11" x14ac:dyDescent="0.35">
      <c r="A31" s="35">
        <v>4</v>
      </c>
      <c r="B31" s="9" t="s">
        <v>24</v>
      </c>
      <c r="C31" s="53" t="s">
        <v>74</v>
      </c>
      <c r="D31" s="6">
        <v>22</v>
      </c>
      <c r="E31" s="6"/>
      <c r="F31" s="6">
        <f t="shared" si="0"/>
        <v>0</v>
      </c>
      <c r="G31" s="6">
        <v>55</v>
      </c>
      <c r="H31" s="6">
        <f t="shared" si="1"/>
        <v>1210</v>
      </c>
      <c r="I31" s="6">
        <v>25</v>
      </c>
      <c r="J31" s="6">
        <f t="shared" si="2"/>
        <v>550</v>
      </c>
      <c r="K31" s="6">
        <f t="shared" si="3"/>
        <v>1760</v>
      </c>
    </row>
    <row r="32" spans="1:11" x14ac:dyDescent="0.35">
      <c r="A32" s="35">
        <v>5</v>
      </c>
      <c r="B32" s="9" t="s">
        <v>25</v>
      </c>
      <c r="C32" s="53" t="s">
        <v>23</v>
      </c>
      <c r="D32" s="6">
        <f>D31*1.1</f>
        <v>24.200000000000003</v>
      </c>
      <c r="E32" s="6"/>
      <c r="F32" s="6">
        <f t="shared" si="0"/>
        <v>0</v>
      </c>
      <c r="G32" s="6">
        <v>25</v>
      </c>
      <c r="H32" s="6">
        <f t="shared" si="1"/>
        <v>605.00000000000011</v>
      </c>
      <c r="I32" s="6">
        <v>20</v>
      </c>
      <c r="J32" s="6">
        <f t="shared" si="2"/>
        <v>484.00000000000006</v>
      </c>
      <c r="K32" s="6">
        <f t="shared" si="3"/>
        <v>1089.0000000000002</v>
      </c>
    </row>
    <row r="33" spans="1:11" x14ac:dyDescent="0.35">
      <c r="A33" s="22"/>
      <c r="B33" s="7" t="s">
        <v>6</v>
      </c>
      <c r="C33" s="53"/>
      <c r="D33" s="6"/>
      <c r="E33" s="6"/>
      <c r="F33" s="6">
        <f>SUM(F9:F32)</f>
        <v>4183</v>
      </c>
      <c r="G33" s="6"/>
      <c r="H33" s="6">
        <f>SUM(H9:H32)</f>
        <v>9972.5</v>
      </c>
      <c r="I33" s="6"/>
      <c r="J33" s="6">
        <f>SUM(J9:J32)</f>
        <v>2585.3150000000001</v>
      </c>
      <c r="K33" s="6">
        <f>SUM(K9:K32)</f>
        <v>16740.815000000002</v>
      </c>
    </row>
    <row r="34" spans="1:11" x14ac:dyDescent="0.35">
      <c r="A34" s="8"/>
      <c r="B34" s="13" t="s">
        <v>14</v>
      </c>
      <c r="C34" s="59">
        <v>0.05</v>
      </c>
      <c r="D34" s="16"/>
      <c r="E34" s="15"/>
      <c r="F34" s="16"/>
      <c r="G34" s="16"/>
      <c r="H34" s="16"/>
      <c r="I34" s="16"/>
      <c r="J34" s="15"/>
      <c r="K34" s="16">
        <f>K33*C34</f>
        <v>837.04075000000012</v>
      </c>
    </row>
    <row r="35" spans="1:11" x14ac:dyDescent="0.35">
      <c r="A35" s="8"/>
      <c r="B35" s="18" t="s">
        <v>6</v>
      </c>
      <c r="C35" s="52"/>
      <c r="D35" s="16"/>
      <c r="E35" s="15"/>
      <c r="F35" s="15"/>
      <c r="G35" s="16"/>
      <c r="H35" s="16"/>
      <c r="I35" s="16"/>
      <c r="J35" s="15"/>
      <c r="K35" s="16">
        <f>K34+K33</f>
        <v>17577.855750000002</v>
      </c>
    </row>
    <row r="36" spans="1:11" x14ac:dyDescent="0.35">
      <c r="A36" s="8"/>
      <c r="B36" s="13" t="s">
        <v>15</v>
      </c>
      <c r="C36" s="59">
        <v>0.1</v>
      </c>
      <c r="D36" s="16"/>
      <c r="E36" s="15"/>
      <c r="F36" s="15"/>
      <c r="G36" s="16"/>
      <c r="H36" s="16"/>
      <c r="I36" s="16"/>
      <c r="J36" s="15"/>
      <c r="K36" s="16">
        <f>K35*C36</f>
        <v>1757.7855750000003</v>
      </c>
    </row>
    <row r="37" spans="1:11" x14ac:dyDescent="0.35">
      <c r="A37" s="8"/>
      <c r="B37" s="18" t="s">
        <v>6</v>
      </c>
      <c r="C37" s="52"/>
      <c r="D37" s="16"/>
      <c r="E37" s="15"/>
      <c r="F37" s="15"/>
      <c r="G37" s="16"/>
      <c r="H37" s="16"/>
      <c r="I37" s="16"/>
      <c r="J37" s="15"/>
      <c r="K37" s="16">
        <f>SUM(K35:K36)</f>
        <v>19335.641325000004</v>
      </c>
    </row>
    <row r="38" spans="1:11" x14ac:dyDescent="0.35">
      <c r="A38" s="8"/>
      <c r="B38" s="13" t="s">
        <v>16</v>
      </c>
      <c r="C38" s="59">
        <v>0.08</v>
      </c>
      <c r="D38" s="16"/>
      <c r="E38" s="15"/>
      <c r="F38" s="15"/>
      <c r="G38" s="16"/>
      <c r="H38" s="16"/>
      <c r="I38" s="16"/>
      <c r="J38" s="15"/>
      <c r="K38" s="16">
        <f>K37*C38</f>
        <v>1546.8513060000005</v>
      </c>
    </row>
    <row r="39" spans="1:11" x14ac:dyDescent="0.35">
      <c r="A39" s="14"/>
      <c r="B39" s="18" t="s">
        <v>6</v>
      </c>
      <c r="C39" s="52"/>
      <c r="D39" s="16"/>
      <c r="E39" s="15"/>
      <c r="F39" s="15"/>
      <c r="G39" s="16"/>
      <c r="H39" s="16"/>
      <c r="I39" s="16"/>
      <c r="J39" s="15"/>
      <c r="K39" s="16">
        <f>SUM(K37:K38)</f>
        <v>20882.492631000005</v>
      </c>
    </row>
    <row r="40" spans="1:11" x14ac:dyDescent="0.35">
      <c r="A40" s="14"/>
      <c r="B40" s="13" t="s">
        <v>19</v>
      </c>
      <c r="C40" s="59">
        <v>0.03</v>
      </c>
      <c r="D40" s="16"/>
      <c r="E40" s="15"/>
      <c r="F40" s="15"/>
      <c r="G40" s="16"/>
      <c r="H40" s="16"/>
      <c r="I40" s="16"/>
      <c r="J40" s="15"/>
      <c r="K40" s="16">
        <f>K39*C40</f>
        <v>626.47477893000007</v>
      </c>
    </row>
    <row r="41" spans="1:11" x14ac:dyDescent="0.35">
      <c r="A41" s="14"/>
      <c r="B41" s="13" t="s">
        <v>28</v>
      </c>
      <c r="C41" s="59">
        <v>0.02</v>
      </c>
      <c r="D41" s="16"/>
      <c r="E41" s="15"/>
      <c r="F41" s="15"/>
      <c r="G41" s="16"/>
      <c r="H41" s="16"/>
      <c r="I41" s="16"/>
      <c r="J41" s="15"/>
      <c r="K41" s="16">
        <f>H33*C41</f>
        <v>199.45000000000002</v>
      </c>
    </row>
    <row r="42" spans="1:11" x14ac:dyDescent="0.35">
      <c r="A42" s="14"/>
      <c r="B42" s="18" t="s">
        <v>6</v>
      </c>
      <c r="C42" s="52"/>
      <c r="D42" s="16"/>
      <c r="E42" s="15"/>
      <c r="F42" s="15"/>
      <c r="G42" s="16"/>
      <c r="H42" s="16"/>
      <c r="I42" s="16"/>
      <c r="J42" s="15"/>
      <c r="K42" s="16">
        <f>K41+K40+K39</f>
        <v>21708.417409930003</v>
      </c>
    </row>
    <row r="43" spans="1:11" x14ac:dyDescent="0.35">
      <c r="A43" s="8"/>
      <c r="B43" s="8" t="s">
        <v>17</v>
      </c>
      <c r="C43" s="59">
        <v>0.18</v>
      </c>
      <c r="D43" s="16"/>
      <c r="E43" s="15"/>
      <c r="F43" s="15"/>
      <c r="G43" s="15"/>
      <c r="H43" s="15"/>
      <c r="I43" s="15"/>
      <c r="J43" s="15"/>
      <c r="K43" s="16">
        <f>K42*C43</f>
        <v>3907.5151337874004</v>
      </c>
    </row>
    <row r="44" spans="1:11" x14ac:dyDescent="0.35">
      <c r="A44" s="7"/>
      <c r="B44" s="11" t="s">
        <v>18</v>
      </c>
      <c r="C44" s="4"/>
      <c r="D44" s="7"/>
      <c r="E44" s="7"/>
      <c r="F44" s="7"/>
      <c r="G44" s="7"/>
      <c r="H44" s="7"/>
      <c r="I44" s="7"/>
      <c r="J44" s="7"/>
      <c r="K44" s="25">
        <f>K43+K42</f>
        <v>25615.932543717405</v>
      </c>
    </row>
  </sheetData>
  <mergeCells count="13">
    <mergeCell ref="I5:J5"/>
    <mergeCell ref="K5:K6"/>
    <mergeCell ref="A5:A6"/>
    <mergeCell ref="B5:B6"/>
    <mergeCell ref="C5:C6"/>
    <mergeCell ref="D5:D6"/>
    <mergeCell ref="E5:F5"/>
    <mergeCell ref="G5:H5"/>
    <mergeCell ref="B2:K2"/>
    <mergeCell ref="A3:K3"/>
    <mergeCell ref="E4:H4"/>
    <mergeCell ref="A1:K1"/>
    <mergeCell ref="I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3"/>
  <sheetViews>
    <sheetView topLeftCell="A6" zoomScale="139" workbookViewId="0">
      <selection activeCell="H45" sqref="H45"/>
    </sheetView>
  </sheetViews>
  <sheetFormatPr defaultColWidth="8.7265625" defaultRowHeight="14.5" x14ac:dyDescent="0.35"/>
  <cols>
    <col min="1" max="1" width="3.08984375" customWidth="1"/>
    <col min="2" max="2" width="55.36328125" customWidth="1"/>
    <col min="4" max="4" width="10.36328125" customWidth="1"/>
    <col min="11" max="11" width="13.7265625" customWidth="1"/>
  </cols>
  <sheetData>
    <row r="1" spans="1:11" ht="18" customHeight="1" x14ac:dyDescent="0.35">
      <c r="A1" s="181" t="s">
        <v>44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1:11" x14ac:dyDescent="0.35">
      <c r="A2" s="43"/>
      <c r="B2" s="175" t="s">
        <v>48</v>
      </c>
      <c r="C2" s="175"/>
      <c r="D2" s="175"/>
      <c r="E2" s="175"/>
      <c r="F2" s="175"/>
      <c r="G2" s="175"/>
      <c r="H2" s="175"/>
      <c r="I2" s="175"/>
      <c r="J2" s="175"/>
      <c r="K2" s="175"/>
    </row>
    <row r="3" spans="1:11" x14ac:dyDescent="0.35">
      <c r="A3" s="176" t="s">
        <v>35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</row>
    <row r="4" spans="1:11" x14ac:dyDescent="0.35">
      <c r="A4" s="44"/>
      <c r="B4" s="45" t="s">
        <v>43</v>
      </c>
      <c r="C4" s="46"/>
      <c r="D4" s="46"/>
      <c r="E4" s="154" t="s">
        <v>22</v>
      </c>
      <c r="F4" s="154"/>
      <c r="G4" s="154"/>
      <c r="H4" s="154"/>
      <c r="I4" s="178">
        <f>K53</f>
        <v>147597.31074780741</v>
      </c>
      <c r="J4" s="178"/>
      <c r="K4" s="178"/>
    </row>
    <row r="5" spans="1:11" x14ac:dyDescent="0.35">
      <c r="A5" s="162" t="s">
        <v>26</v>
      </c>
      <c r="B5" s="162" t="s">
        <v>0</v>
      </c>
      <c r="C5" s="162" t="s">
        <v>1</v>
      </c>
      <c r="D5" s="166" t="s">
        <v>2</v>
      </c>
      <c r="E5" s="168" t="s">
        <v>3</v>
      </c>
      <c r="F5" s="169"/>
      <c r="G5" s="168" t="s">
        <v>4</v>
      </c>
      <c r="H5" s="169"/>
      <c r="I5" s="160" t="s">
        <v>5</v>
      </c>
      <c r="J5" s="161"/>
      <c r="K5" s="162" t="s">
        <v>6</v>
      </c>
    </row>
    <row r="6" spans="1:11" x14ac:dyDescent="0.35">
      <c r="A6" s="163"/>
      <c r="B6" s="163"/>
      <c r="C6" s="163"/>
      <c r="D6" s="167"/>
      <c r="E6" s="52" t="s">
        <v>7</v>
      </c>
      <c r="F6" s="52" t="s">
        <v>6</v>
      </c>
      <c r="G6" s="52" t="s">
        <v>7</v>
      </c>
      <c r="H6" s="52" t="s">
        <v>6</v>
      </c>
      <c r="I6" s="52" t="s">
        <v>7</v>
      </c>
      <c r="J6" s="52" t="s">
        <v>6</v>
      </c>
      <c r="K6" s="163"/>
    </row>
    <row r="7" spans="1:11" x14ac:dyDescent="0.35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 x14ac:dyDescent="0.35">
      <c r="A8" s="7"/>
      <c r="B8" s="10" t="s">
        <v>20</v>
      </c>
      <c r="C8" s="58"/>
      <c r="D8" s="17"/>
      <c r="E8" s="17"/>
      <c r="F8" s="17"/>
      <c r="G8" s="17"/>
      <c r="H8" s="17"/>
      <c r="I8" s="17"/>
      <c r="J8" s="17"/>
      <c r="K8" s="17"/>
    </row>
    <row r="9" spans="1:11" x14ac:dyDescent="0.35">
      <c r="A9" s="35">
        <v>1</v>
      </c>
      <c r="B9" s="20" t="s">
        <v>46</v>
      </c>
      <c r="C9" s="53" t="s">
        <v>73</v>
      </c>
      <c r="D9" s="31">
        <v>70</v>
      </c>
      <c r="E9" s="6"/>
      <c r="F9" s="6">
        <f t="shared" ref="F9:F41" si="0">E9*D9</f>
        <v>0</v>
      </c>
      <c r="G9" s="6">
        <v>3</v>
      </c>
      <c r="H9" s="6">
        <f>G9*D9</f>
        <v>210</v>
      </c>
      <c r="I9" s="6">
        <v>0.08</v>
      </c>
      <c r="J9" s="6">
        <f>I9*D9</f>
        <v>5.6000000000000005</v>
      </c>
      <c r="K9" s="6">
        <f>J9+H9+F9</f>
        <v>215.6</v>
      </c>
    </row>
    <row r="10" spans="1:11" x14ac:dyDescent="0.35">
      <c r="A10" s="35">
        <v>2</v>
      </c>
      <c r="B10" s="20" t="s">
        <v>47</v>
      </c>
      <c r="C10" s="53" t="s">
        <v>9</v>
      </c>
      <c r="D10" s="31">
        <v>4</v>
      </c>
      <c r="E10" s="6"/>
      <c r="F10" s="6">
        <f t="shared" si="0"/>
        <v>0</v>
      </c>
      <c r="G10" s="6">
        <v>20</v>
      </c>
      <c r="H10" s="6">
        <f t="shared" ref="H10:H41" si="1">G10*D10</f>
        <v>80</v>
      </c>
      <c r="I10" s="6">
        <v>1.5</v>
      </c>
      <c r="J10" s="6">
        <f t="shared" ref="J10:J41" si="2">I10*D10</f>
        <v>6</v>
      </c>
      <c r="K10" s="6">
        <f t="shared" ref="K10:K41" si="3">J10+H10+F10</f>
        <v>86</v>
      </c>
    </row>
    <row r="11" spans="1:11" x14ac:dyDescent="0.35">
      <c r="A11" s="35">
        <v>3</v>
      </c>
      <c r="B11" s="9" t="s">
        <v>24</v>
      </c>
      <c r="C11" s="53" t="s">
        <v>74</v>
      </c>
      <c r="D11" s="6">
        <f>D10*0.05</f>
        <v>0.2</v>
      </c>
      <c r="E11" s="6"/>
      <c r="F11" s="6">
        <f t="shared" si="0"/>
        <v>0</v>
      </c>
      <c r="G11" s="6">
        <v>55</v>
      </c>
      <c r="H11" s="6">
        <f t="shared" si="1"/>
        <v>11</v>
      </c>
      <c r="I11" s="6">
        <v>25</v>
      </c>
      <c r="J11" s="6">
        <f t="shared" si="2"/>
        <v>5</v>
      </c>
      <c r="K11" s="6">
        <f t="shared" si="3"/>
        <v>16</v>
      </c>
    </row>
    <row r="12" spans="1:11" x14ac:dyDescent="0.35">
      <c r="A12" s="35">
        <v>4</v>
      </c>
      <c r="B12" s="9" t="s">
        <v>25</v>
      </c>
      <c r="C12" s="53" t="s">
        <v>23</v>
      </c>
      <c r="D12" s="6">
        <f>D11*1.8</f>
        <v>0.36000000000000004</v>
      </c>
      <c r="E12" s="6"/>
      <c r="F12" s="6">
        <f t="shared" si="0"/>
        <v>0</v>
      </c>
      <c r="G12" s="6">
        <v>25</v>
      </c>
      <c r="H12" s="6">
        <f t="shared" si="1"/>
        <v>9.0000000000000018</v>
      </c>
      <c r="I12" s="6">
        <v>20</v>
      </c>
      <c r="J12" s="6">
        <f t="shared" si="2"/>
        <v>7.2000000000000011</v>
      </c>
      <c r="K12" s="6">
        <f t="shared" si="3"/>
        <v>16.200000000000003</v>
      </c>
    </row>
    <row r="13" spans="1:11" x14ac:dyDescent="0.35">
      <c r="A13" s="35"/>
      <c r="B13" s="10" t="s">
        <v>21</v>
      </c>
      <c r="C13" s="53"/>
      <c r="D13" s="6"/>
      <c r="E13" s="6"/>
      <c r="F13" s="6">
        <f t="shared" si="0"/>
        <v>0</v>
      </c>
      <c r="G13" s="6"/>
      <c r="H13" s="6">
        <f t="shared" si="1"/>
        <v>0</v>
      </c>
      <c r="I13" s="6"/>
      <c r="J13" s="6">
        <f t="shared" si="2"/>
        <v>0</v>
      </c>
      <c r="K13" s="6">
        <f t="shared" si="3"/>
        <v>0</v>
      </c>
    </row>
    <row r="14" spans="1:11" x14ac:dyDescent="0.35">
      <c r="A14" s="35">
        <v>1</v>
      </c>
      <c r="B14" s="19" t="s">
        <v>49</v>
      </c>
      <c r="C14" s="55" t="s">
        <v>8</v>
      </c>
      <c r="D14" s="28">
        <v>410</v>
      </c>
      <c r="E14" s="6"/>
      <c r="F14" s="6">
        <f t="shared" si="0"/>
        <v>0</v>
      </c>
      <c r="G14" s="6">
        <v>15</v>
      </c>
      <c r="H14" s="6">
        <f t="shared" si="1"/>
        <v>6150</v>
      </c>
      <c r="I14" s="6"/>
      <c r="J14" s="6">
        <f t="shared" si="2"/>
        <v>0</v>
      </c>
      <c r="K14" s="6">
        <f t="shared" si="3"/>
        <v>6150</v>
      </c>
    </row>
    <row r="15" spans="1:11" ht="17.25" customHeight="1" x14ac:dyDescent="0.35">
      <c r="A15" s="35"/>
      <c r="B15" s="33" t="s">
        <v>29</v>
      </c>
      <c r="C15" s="53" t="s">
        <v>13</v>
      </c>
      <c r="D15" s="31">
        <f>0.7*70</f>
        <v>49</v>
      </c>
      <c r="E15" s="6">
        <v>0.9</v>
      </c>
      <c r="F15" s="6">
        <f t="shared" si="0"/>
        <v>44.1</v>
      </c>
      <c r="G15" s="6"/>
      <c r="H15" s="6">
        <f t="shared" si="1"/>
        <v>0</v>
      </c>
      <c r="I15" s="6">
        <v>0.1</v>
      </c>
      <c r="J15" s="6">
        <f t="shared" si="2"/>
        <v>4.9000000000000004</v>
      </c>
      <c r="K15" s="6">
        <f t="shared" si="3"/>
        <v>49</v>
      </c>
    </row>
    <row r="16" spans="1:11" ht="17.25" customHeight="1" x14ac:dyDescent="0.35">
      <c r="A16" s="35"/>
      <c r="B16" s="20" t="s">
        <v>50</v>
      </c>
      <c r="C16" s="53" t="s">
        <v>13</v>
      </c>
      <c r="D16" s="31">
        <f>D14*0.35</f>
        <v>143.5</v>
      </c>
      <c r="E16" s="6">
        <v>12</v>
      </c>
      <c r="F16" s="6">
        <f t="shared" si="0"/>
        <v>1722</v>
      </c>
      <c r="G16" s="6"/>
      <c r="H16" s="6">
        <f t="shared" si="1"/>
        <v>0</v>
      </c>
      <c r="I16" s="6">
        <v>0.1</v>
      </c>
      <c r="J16" s="6">
        <f t="shared" si="2"/>
        <v>14.350000000000001</v>
      </c>
      <c r="K16" s="6">
        <f t="shared" si="3"/>
        <v>1736.35</v>
      </c>
    </row>
    <row r="17" spans="1:11" ht="17.25" customHeight="1" x14ac:dyDescent="0.35">
      <c r="A17" s="35"/>
      <c r="B17" s="20" t="s">
        <v>41</v>
      </c>
      <c r="C17" s="53" t="s">
        <v>13</v>
      </c>
      <c r="D17" s="31">
        <f>D14*0.15</f>
        <v>61.5</v>
      </c>
      <c r="E17" s="6">
        <v>5</v>
      </c>
      <c r="F17" s="6">
        <f t="shared" si="0"/>
        <v>307.5</v>
      </c>
      <c r="G17" s="6"/>
      <c r="H17" s="6">
        <f t="shared" si="1"/>
        <v>0</v>
      </c>
      <c r="I17" s="6">
        <v>0.1</v>
      </c>
      <c r="J17" s="6">
        <f t="shared" si="2"/>
        <v>6.15</v>
      </c>
      <c r="K17" s="6">
        <f t="shared" si="3"/>
        <v>313.64999999999998</v>
      </c>
    </row>
    <row r="18" spans="1:11" ht="17.25" customHeight="1" x14ac:dyDescent="0.35">
      <c r="A18" s="35"/>
      <c r="B18" s="33" t="s">
        <v>30</v>
      </c>
      <c r="C18" s="53" t="s">
        <v>8</v>
      </c>
      <c r="D18" s="6">
        <f>0.009*D14</f>
        <v>3.6899999999999995</v>
      </c>
      <c r="E18" s="6">
        <v>25</v>
      </c>
      <c r="F18" s="6">
        <f t="shared" si="0"/>
        <v>92.249999999999986</v>
      </c>
      <c r="G18" s="6"/>
      <c r="H18" s="6">
        <f t="shared" si="1"/>
        <v>0</v>
      </c>
      <c r="I18" s="6">
        <v>0.1</v>
      </c>
      <c r="J18" s="6">
        <f t="shared" si="2"/>
        <v>0.36899999999999999</v>
      </c>
      <c r="K18" s="6">
        <f t="shared" si="3"/>
        <v>92.618999999999986</v>
      </c>
    </row>
    <row r="19" spans="1:11" ht="17.25" customHeight="1" x14ac:dyDescent="0.35">
      <c r="A19" s="35"/>
      <c r="B19" s="33" t="s">
        <v>36</v>
      </c>
      <c r="C19" s="53" t="s">
        <v>10</v>
      </c>
      <c r="D19" s="31">
        <f>0.5*D14</f>
        <v>205</v>
      </c>
      <c r="E19" s="6">
        <v>1.4</v>
      </c>
      <c r="F19" s="6">
        <f t="shared" si="0"/>
        <v>287</v>
      </c>
      <c r="G19" s="6"/>
      <c r="H19" s="6">
        <f t="shared" si="1"/>
        <v>0</v>
      </c>
      <c r="I19" s="6">
        <v>0.01</v>
      </c>
      <c r="J19" s="6">
        <f t="shared" si="2"/>
        <v>2.0499999999999998</v>
      </c>
      <c r="K19" s="6">
        <f t="shared" si="3"/>
        <v>289.05</v>
      </c>
    </row>
    <row r="20" spans="1:11" ht="17.25" customHeight="1" x14ac:dyDescent="0.35">
      <c r="A20" s="35"/>
      <c r="B20" s="33" t="s">
        <v>11</v>
      </c>
      <c r="C20" s="53" t="s">
        <v>12</v>
      </c>
      <c r="D20" s="6">
        <f>D14*0.01</f>
        <v>4.0999999999999996</v>
      </c>
      <c r="E20" s="6">
        <v>8</v>
      </c>
      <c r="F20" s="6">
        <f t="shared" si="0"/>
        <v>32.799999999999997</v>
      </c>
      <c r="G20" s="6"/>
      <c r="H20" s="6">
        <f t="shared" si="1"/>
        <v>0</v>
      </c>
      <c r="I20" s="6"/>
      <c r="J20" s="6">
        <f t="shared" si="2"/>
        <v>0</v>
      </c>
      <c r="K20" s="6">
        <f t="shared" si="3"/>
        <v>32.799999999999997</v>
      </c>
    </row>
    <row r="21" spans="1:11" ht="40.5" x14ac:dyDescent="0.35">
      <c r="A21" s="36">
        <v>2</v>
      </c>
      <c r="B21" s="27" t="s">
        <v>55</v>
      </c>
      <c r="C21" s="55" t="s">
        <v>9</v>
      </c>
      <c r="D21" s="28">
        <v>1</v>
      </c>
      <c r="E21" s="28"/>
      <c r="F21" s="6">
        <f t="shared" si="0"/>
        <v>0</v>
      </c>
      <c r="G21" s="28">
        <v>200</v>
      </c>
      <c r="H21" s="6">
        <f t="shared" si="1"/>
        <v>200</v>
      </c>
      <c r="I21" s="28"/>
      <c r="J21" s="6">
        <f t="shared" si="2"/>
        <v>0</v>
      </c>
      <c r="K21" s="6">
        <f t="shared" si="3"/>
        <v>200</v>
      </c>
    </row>
    <row r="22" spans="1:11" x14ac:dyDescent="0.35">
      <c r="A22" s="36"/>
      <c r="B22" s="30" t="s">
        <v>11</v>
      </c>
      <c r="C22" s="55" t="s">
        <v>12</v>
      </c>
      <c r="D22" s="28">
        <f>D21*1</f>
        <v>1</v>
      </c>
      <c r="E22" s="28">
        <v>8</v>
      </c>
      <c r="F22" s="6">
        <f t="shared" si="0"/>
        <v>8</v>
      </c>
      <c r="G22" s="28"/>
      <c r="H22" s="6">
        <f t="shared" si="1"/>
        <v>0</v>
      </c>
      <c r="I22" s="28"/>
      <c r="J22" s="6">
        <f t="shared" si="2"/>
        <v>0</v>
      </c>
      <c r="K22" s="6">
        <f t="shared" si="3"/>
        <v>8</v>
      </c>
    </row>
    <row r="23" spans="1:11" ht="24" x14ac:dyDescent="0.35">
      <c r="A23" s="50">
        <v>3</v>
      </c>
      <c r="B23" s="51" t="s">
        <v>70</v>
      </c>
      <c r="C23" s="53" t="s">
        <v>8</v>
      </c>
      <c r="D23" s="49">
        <v>40</v>
      </c>
      <c r="E23" s="49"/>
      <c r="F23" s="6">
        <f t="shared" si="0"/>
        <v>0</v>
      </c>
      <c r="G23" s="49">
        <v>15</v>
      </c>
      <c r="H23" s="6">
        <f t="shared" si="1"/>
        <v>600</v>
      </c>
      <c r="I23" s="49"/>
      <c r="J23" s="6">
        <f t="shared" si="2"/>
        <v>0</v>
      </c>
      <c r="K23" s="6">
        <f t="shared" si="3"/>
        <v>600</v>
      </c>
    </row>
    <row r="24" spans="1:11" x14ac:dyDescent="0.35">
      <c r="A24" s="50"/>
      <c r="B24" s="48" t="s">
        <v>69</v>
      </c>
      <c r="C24" s="53" t="s">
        <v>13</v>
      </c>
      <c r="D24" s="49">
        <f>D23*0.4</f>
        <v>16</v>
      </c>
      <c r="E24" s="49">
        <v>18</v>
      </c>
      <c r="F24" s="6">
        <f t="shared" si="0"/>
        <v>288</v>
      </c>
      <c r="G24" s="49"/>
      <c r="H24" s="6">
        <f t="shared" si="1"/>
        <v>0</v>
      </c>
      <c r="I24" s="49"/>
      <c r="J24" s="6">
        <f t="shared" si="2"/>
        <v>0</v>
      </c>
      <c r="K24" s="6">
        <f t="shared" si="3"/>
        <v>288</v>
      </c>
    </row>
    <row r="25" spans="1:11" x14ac:dyDescent="0.35">
      <c r="A25" s="50"/>
      <c r="B25" s="48" t="s">
        <v>71</v>
      </c>
      <c r="C25" s="53" t="s">
        <v>8</v>
      </c>
      <c r="D25" s="41">
        <f>D23*0.04</f>
        <v>1.6</v>
      </c>
      <c r="E25" s="41">
        <v>22</v>
      </c>
      <c r="F25" s="6">
        <f t="shared" si="0"/>
        <v>35.200000000000003</v>
      </c>
      <c r="G25" s="41"/>
      <c r="H25" s="6">
        <f t="shared" si="1"/>
        <v>0</v>
      </c>
      <c r="I25" s="41">
        <v>0.01</v>
      </c>
      <c r="J25" s="6">
        <f t="shared" si="2"/>
        <v>1.6E-2</v>
      </c>
      <c r="K25" s="6">
        <f t="shared" si="3"/>
        <v>35.216000000000001</v>
      </c>
    </row>
    <row r="26" spans="1:11" x14ac:dyDescent="0.35">
      <c r="A26" s="50"/>
      <c r="B26" s="48" t="s">
        <v>11</v>
      </c>
      <c r="C26" s="55" t="s">
        <v>12</v>
      </c>
      <c r="D26" s="49">
        <f>D23*0.1</f>
        <v>4</v>
      </c>
      <c r="E26" s="49">
        <v>8</v>
      </c>
      <c r="F26" s="6">
        <f t="shared" si="0"/>
        <v>32</v>
      </c>
      <c r="G26" s="49"/>
      <c r="H26" s="6">
        <f t="shared" si="1"/>
        <v>0</v>
      </c>
      <c r="I26" s="49"/>
      <c r="J26" s="6">
        <f t="shared" si="2"/>
        <v>0</v>
      </c>
      <c r="K26" s="6">
        <f t="shared" si="3"/>
        <v>32</v>
      </c>
    </row>
    <row r="27" spans="1:11" ht="27" x14ac:dyDescent="0.35">
      <c r="A27" s="35">
        <v>4</v>
      </c>
      <c r="B27" s="17" t="s">
        <v>75</v>
      </c>
      <c r="C27" s="55" t="s">
        <v>9</v>
      </c>
      <c r="D27" s="28">
        <v>8</v>
      </c>
      <c r="E27" s="6"/>
      <c r="F27" s="6">
        <f t="shared" si="0"/>
        <v>0</v>
      </c>
      <c r="G27" s="6">
        <v>70</v>
      </c>
      <c r="H27" s="6">
        <f t="shared" si="1"/>
        <v>560</v>
      </c>
      <c r="I27" s="6"/>
      <c r="J27" s="6">
        <f t="shared" si="2"/>
        <v>0</v>
      </c>
      <c r="K27" s="6">
        <f t="shared" si="3"/>
        <v>560</v>
      </c>
    </row>
    <row r="28" spans="1:11" x14ac:dyDescent="0.35">
      <c r="A28" s="35"/>
      <c r="B28" s="29" t="s">
        <v>51</v>
      </c>
      <c r="C28" s="55" t="s">
        <v>9</v>
      </c>
      <c r="D28" s="28">
        <v>4</v>
      </c>
      <c r="E28" s="6">
        <v>10150</v>
      </c>
      <c r="F28" s="6">
        <f t="shared" si="0"/>
        <v>40600</v>
      </c>
      <c r="G28" s="6"/>
      <c r="H28" s="6">
        <f t="shared" si="1"/>
        <v>0</v>
      </c>
      <c r="I28" s="6">
        <v>1</v>
      </c>
      <c r="J28" s="6">
        <f t="shared" si="2"/>
        <v>4</v>
      </c>
      <c r="K28" s="6">
        <f t="shared" si="3"/>
        <v>40604</v>
      </c>
    </row>
    <row r="29" spans="1:11" x14ac:dyDescent="0.35">
      <c r="A29" s="35"/>
      <c r="B29" s="29" t="s">
        <v>52</v>
      </c>
      <c r="C29" s="55" t="s">
        <v>9</v>
      </c>
      <c r="D29" s="28">
        <v>4</v>
      </c>
      <c r="E29" s="6">
        <v>10000</v>
      </c>
      <c r="F29" s="6">
        <f t="shared" si="0"/>
        <v>40000</v>
      </c>
      <c r="G29" s="6"/>
      <c r="H29" s="6">
        <f t="shared" si="1"/>
        <v>0</v>
      </c>
      <c r="I29" s="6">
        <v>1</v>
      </c>
      <c r="J29" s="6">
        <f t="shared" si="2"/>
        <v>4</v>
      </c>
      <c r="K29" s="6">
        <f t="shared" si="3"/>
        <v>40004</v>
      </c>
    </row>
    <row r="30" spans="1:11" x14ac:dyDescent="0.35">
      <c r="A30" s="35"/>
      <c r="B30" s="29" t="s">
        <v>11</v>
      </c>
      <c r="C30" s="55" t="s">
        <v>12</v>
      </c>
      <c r="D30" s="28">
        <f>20*0.7</f>
        <v>14</v>
      </c>
      <c r="E30" s="6">
        <v>8</v>
      </c>
      <c r="F30" s="6">
        <f t="shared" si="0"/>
        <v>112</v>
      </c>
      <c r="G30" s="6"/>
      <c r="H30" s="6">
        <f t="shared" si="1"/>
        <v>0</v>
      </c>
      <c r="I30" s="6"/>
      <c r="J30" s="6">
        <f t="shared" si="2"/>
        <v>0</v>
      </c>
      <c r="K30" s="6">
        <f t="shared" si="3"/>
        <v>112</v>
      </c>
    </row>
    <row r="31" spans="1:11" ht="27" x14ac:dyDescent="0.35">
      <c r="A31" s="36">
        <v>5</v>
      </c>
      <c r="B31" s="32" t="s">
        <v>54</v>
      </c>
      <c r="C31" s="53" t="s">
        <v>10</v>
      </c>
      <c r="D31" s="6">
        <v>84</v>
      </c>
      <c r="E31" s="6"/>
      <c r="F31" s="6">
        <f t="shared" si="0"/>
        <v>0</v>
      </c>
      <c r="G31" s="6">
        <v>5</v>
      </c>
      <c r="H31" s="6">
        <f t="shared" si="1"/>
        <v>420</v>
      </c>
      <c r="I31" s="6"/>
      <c r="J31" s="6">
        <f t="shared" si="2"/>
        <v>0</v>
      </c>
      <c r="K31" s="6">
        <f t="shared" si="3"/>
        <v>420</v>
      </c>
    </row>
    <row r="32" spans="1:11" x14ac:dyDescent="0.35">
      <c r="A32" s="36"/>
      <c r="B32" s="21" t="s">
        <v>53</v>
      </c>
      <c r="C32" s="53" t="s">
        <v>10</v>
      </c>
      <c r="D32" s="31">
        <f>D31*1.1</f>
        <v>92.4</v>
      </c>
      <c r="E32" s="6">
        <v>7</v>
      </c>
      <c r="F32" s="6">
        <f t="shared" si="0"/>
        <v>646.80000000000007</v>
      </c>
      <c r="G32" s="6"/>
      <c r="H32" s="6">
        <f t="shared" si="1"/>
        <v>0</v>
      </c>
      <c r="I32" s="6">
        <v>0.5</v>
      </c>
      <c r="J32" s="6">
        <f t="shared" si="2"/>
        <v>46.2</v>
      </c>
      <c r="K32" s="6">
        <f t="shared" si="3"/>
        <v>693.00000000000011</v>
      </c>
    </row>
    <row r="33" spans="1:11" x14ac:dyDescent="0.35">
      <c r="A33" s="36"/>
      <c r="B33" s="5" t="s">
        <v>38</v>
      </c>
      <c r="C33" s="53" t="s">
        <v>27</v>
      </c>
      <c r="D33" s="31">
        <v>12</v>
      </c>
      <c r="E33" s="6">
        <v>20</v>
      </c>
      <c r="F33" s="6">
        <f t="shared" si="0"/>
        <v>240</v>
      </c>
      <c r="G33" s="6"/>
      <c r="H33" s="6">
        <f t="shared" si="1"/>
        <v>0</v>
      </c>
      <c r="I33" s="6">
        <v>0.5</v>
      </c>
      <c r="J33" s="6">
        <f t="shared" si="2"/>
        <v>6</v>
      </c>
      <c r="K33" s="6">
        <f t="shared" si="3"/>
        <v>246</v>
      </c>
    </row>
    <row r="34" spans="1:11" x14ac:dyDescent="0.35">
      <c r="A34" s="35">
        <v>6</v>
      </c>
      <c r="B34" s="37" t="s">
        <v>31</v>
      </c>
      <c r="C34" s="55" t="s">
        <v>10</v>
      </c>
      <c r="D34" s="28">
        <v>205</v>
      </c>
      <c r="E34" s="6"/>
      <c r="F34" s="6">
        <f t="shared" si="0"/>
        <v>0</v>
      </c>
      <c r="G34" s="6">
        <v>7</v>
      </c>
      <c r="H34" s="6">
        <f t="shared" si="1"/>
        <v>1435</v>
      </c>
      <c r="I34" s="6"/>
      <c r="J34" s="6">
        <f t="shared" si="2"/>
        <v>0</v>
      </c>
      <c r="K34" s="6">
        <f t="shared" si="3"/>
        <v>1435</v>
      </c>
    </row>
    <row r="35" spans="1:11" x14ac:dyDescent="0.35">
      <c r="A35" s="35"/>
      <c r="B35" s="5" t="s">
        <v>32</v>
      </c>
      <c r="C35" s="53" t="s">
        <v>10</v>
      </c>
      <c r="D35" s="6">
        <f>1.03*D34</f>
        <v>211.15</v>
      </c>
      <c r="E35" s="6">
        <v>11</v>
      </c>
      <c r="F35" s="6">
        <f t="shared" si="0"/>
        <v>2322.65</v>
      </c>
      <c r="G35" s="6"/>
      <c r="H35" s="6">
        <f t="shared" si="1"/>
        <v>0</v>
      </c>
      <c r="I35" s="6">
        <v>0.2</v>
      </c>
      <c r="J35" s="6">
        <f t="shared" si="2"/>
        <v>42.230000000000004</v>
      </c>
      <c r="K35" s="6">
        <f t="shared" si="3"/>
        <v>2364.88</v>
      </c>
    </row>
    <row r="36" spans="1:11" x14ac:dyDescent="0.35">
      <c r="A36" s="35"/>
      <c r="B36" s="5" t="s">
        <v>34</v>
      </c>
      <c r="C36" s="53" t="s">
        <v>27</v>
      </c>
      <c r="D36" s="6">
        <f>D34*4</f>
        <v>820</v>
      </c>
      <c r="E36" s="6">
        <v>0.04</v>
      </c>
      <c r="F36" s="6">
        <f t="shared" si="0"/>
        <v>32.799999999999997</v>
      </c>
      <c r="G36" s="6"/>
      <c r="H36" s="6">
        <f t="shared" si="1"/>
        <v>0</v>
      </c>
      <c r="I36" s="6">
        <v>0.01</v>
      </c>
      <c r="J36" s="6">
        <f t="shared" si="2"/>
        <v>8.1999999999999993</v>
      </c>
      <c r="K36" s="6">
        <f t="shared" si="3"/>
        <v>41</v>
      </c>
    </row>
    <row r="37" spans="1:11" x14ac:dyDescent="0.35">
      <c r="A37" s="35"/>
      <c r="B37" s="5" t="s">
        <v>33</v>
      </c>
      <c r="C37" s="53" t="s">
        <v>27</v>
      </c>
      <c r="D37" s="6">
        <v>15</v>
      </c>
      <c r="E37" s="6">
        <v>14</v>
      </c>
      <c r="F37" s="6">
        <f t="shared" si="0"/>
        <v>210</v>
      </c>
      <c r="G37" s="6"/>
      <c r="H37" s="6">
        <f t="shared" si="1"/>
        <v>0</v>
      </c>
      <c r="I37" s="6">
        <v>0.1</v>
      </c>
      <c r="J37" s="6">
        <f t="shared" si="2"/>
        <v>1.5</v>
      </c>
      <c r="K37" s="6">
        <f t="shared" si="3"/>
        <v>211.5</v>
      </c>
    </row>
    <row r="38" spans="1:11" ht="21" customHeight="1" x14ac:dyDescent="0.35">
      <c r="A38" s="35"/>
      <c r="B38" s="5" t="s">
        <v>11</v>
      </c>
      <c r="C38" s="53" t="s">
        <v>12</v>
      </c>
      <c r="D38" s="6">
        <f>D34*0.03</f>
        <v>6.1499999999999995</v>
      </c>
      <c r="E38" s="6">
        <v>8</v>
      </c>
      <c r="F38" s="6">
        <f t="shared" si="0"/>
        <v>49.199999999999996</v>
      </c>
      <c r="G38" s="6"/>
      <c r="H38" s="6">
        <f t="shared" si="1"/>
        <v>0</v>
      </c>
      <c r="I38" s="6"/>
      <c r="J38" s="6">
        <f t="shared" si="2"/>
        <v>0</v>
      </c>
      <c r="K38" s="6">
        <f t="shared" si="3"/>
        <v>49.199999999999996</v>
      </c>
    </row>
    <row r="39" spans="1:11" x14ac:dyDescent="0.35">
      <c r="A39" s="35">
        <v>7</v>
      </c>
      <c r="B39" s="27" t="s">
        <v>56</v>
      </c>
      <c r="C39" s="55" t="s">
        <v>9</v>
      </c>
      <c r="D39" s="28">
        <v>1</v>
      </c>
      <c r="E39" s="28">
        <v>80</v>
      </c>
      <c r="F39" s="6">
        <f t="shared" si="0"/>
        <v>80</v>
      </c>
      <c r="G39" s="28">
        <v>10</v>
      </c>
      <c r="H39" s="6">
        <f t="shared" si="1"/>
        <v>10</v>
      </c>
      <c r="I39" s="28">
        <v>5</v>
      </c>
      <c r="J39" s="6">
        <f t="shared" si="2"/>
        <v>5</v>
      </c>
      <c r="K39" s="6">
        <f t="shared" si="3"/>
        <v>95</v>
      </c>
    </row>
    <row r="40" spans="1:11" x14ac:dyDescent="0.35">
      <c r="A40" s="35">
        <v>8</v>
      </c>
      <c r="B40" s="9" t="s">
        <v>24</v>
      </c>
      <c r="C40" s="53" t="s">
        <v>74</v>
      </c>
      <c r="D40" s="6">
        <v>2</v>
      </c>
      <c r="E40" s="6"/>
      <c r="F40" s="6">
        <f t="shared" si="0"/>
        <v>0</v>
      </c>
      <c r="G40" s="6">
        <v>55</v>
      </c>
      <c r="H40" s="6">
        <f t="shared" si="1"/>
        <v>110</v>
      </c>
      <c r="I40" s="6">
        <v>25</v>
      </c>
      <c r="J40" s="6">
        <f t="shared" si="2"/>
        <v>50</v>
      </c>
      <c r="K40" s="6">
        <f t="shared" si="3"/>
        <v>160</v>
      </c>
    </row>
    <row r="41" spans="1:11" x14ac:dyDescent="0.35">
      <c r="A41" s="35">
        <v>9</v>
      </c>
      <c r="B41" s="9" t="s">
        <v>25</v>
      </c>
      <c r="C41" s="53" t="s">
        <v>23</v>
      </c>
      <c r="D41" s="6">
        <v>1</v>
      </c>
      <c r="E41" s="6"/>
      <c r="F41" s="6">
        <f t="shared" si="0"/>
        <v>0</v>
      </c>
      <c r="G41" s="6">
        <v>25</v>
      </c>
      <c r="H41" s="6">
        <f t="shared" si="1"/>
        <v>25</v>
      </c>
      <c r="I41" s="6">
        <v>20</v>
      </c>
      <c r="J41" s="6">
        <f t="shared" si="2"/>
        <v>20</v>
      </c>
      <c r="K41" s="6">
        <f t="shared" si="3"/>
        <v>45</v>
      </c>
    </row>
    <row r="42" spans="1:11" x14ac:dyDescent="0.35">
      <c r="A42" s="22"/>
      <c r="B42" s="7" t="s">
        <v>6</v>
      </c>
      <c r="C42" s="53"/>
      <c r="D42" s="6"/>
      <c r="E42" s="6"/>
      <c r="F42" s="6">
        <f>SUM(F9:F41)</f>
        <v>87142.3</v>
      </c>
      <c r="G42" s="6"/>
      <c r="H42" s="6">
        <f>SUM(H9:H41)</f>
        <v>9820</v>
      </c>
      <c r="I42" s="6"/>
      <c r="J42" s="6">
        <f>SUM(J9:J41)</f>
        <v>238.76499999999999</v>
      </c>
      <c r="K42" s="6">
        <f>SUM(K9:K41)</f>
        <v>97201.065000000002</v>
      </c>
    </row>
    <row r="43" spans="1:11" x14ac:dyDescent="0.35">
      <c r="A43" s="8"/>
      <c r="B43" s="13" t="s">
        <v>14</v>
      </c>
      <c r="C43" s="59">
        <v>0.05</v>
      </c>
      <c r="D43" s="16"/>
      <c r="E43" s="15"/>
      <c r="F43" s="16"/>
      <c r="G43" s="16"/>
      <c r="H43" s="16"/>
      <c r="I43" s="16"/>
      <c r="J43" s="15"/>
      <c r="K43" s="16">
        <f>K42*C43</f>
        <v>4860.0532499999999</v>
      </c>
    </row>
    <row r="44" spans="1:11" x14ac:dyDescent="0.35">
      <c r="A44" s="8"/>
      <c r="B44" s="18" t="s">
        <v>6</v>
      </c>
      <c r="C44" s="52"/>
      <c r="D44" s="16"/>
      <c r="E44" s="15"/>
      <c r="F44" s="15"/>
      <c r="G44" s="16"/>
      <c r="H44" s="16"/>
      <c r="I44" s="16"/>
      <c r="J44" s="15"/>
      <c r="K44" s="16">
        <f>K43+K42</f>
        <v>102061.11825</v>
      </c>
    </row>
    <row r="45" spans="1:11" x14ac:dyDescent="0.35">
      <c r="A45" s="8"/>
      <c r="B45" s="13" t="s">
        <v>15</v>
      </c>
      <c r="C45" s="59">
        <v>0.1</v>
      </c>
      <c r="D45" s="16"/>
      <c r="E45" s="15"/>
      <c r="F45" s="15"/>
      <c r="G45" s="16"/>
      <c r="H45" s="16"/>
      <c r="I45" s="16"/>
      <c r="J45" s="15"/>
      <c r="K45" s="16">
        <f>K44*C45</f>
        <v>10206.111825</v>
      </c>
    </row>
    <row r="46" spans="1:11" x14ac:dyDescent="0.35">
      <c r="A46" s="8"/>
      <c r="B46" s="18" t="s">
        <v>6</v>
      </c>
      <c r="C46" s="52"/>
      <c r="D46" s="16"/>
      <c r="E46" s="15"/>
      <c r="F46" s="15"/>
      <c r="G46" s="16"/>
      <c r="H46" s="16"/>
      <c r="I46" s="16"/>
      <c r="J46" s="15"/>
      <c r="K46" s="16">
        <f>SUM(K44:K45)</f>
        <v>112267.230075</v>
      </c>
    </row>
    <row r="47" spans="1:11" x14ac:dyDescent="0.35">
      <c r="A47" s="8"/>
      <c r="B47" s="13" t="s">
        <v>16</v>
      </c>
      <c r="C47" s="59">
        <v>0.08</v>
      </c>
      <c r="D47" s="16"/>
      <c r="E47" s="15"/>
      <c r="F47" s="15"/>
      <c r="G47" s="16"/>
      <c r="H47" s="16"/>
      <c r="I47" s="16"/>
      <c r="J47" s="15"/>
      <c r="K47" s="16">
        <f>K46*C47</f>
        <v>8981.3784059999998</v>
      </c>
    </row>
    <row r="48" spans="1:11" x14ac:dyDescent="0.35">
      <c r="A48" s="14"/>
      <c r="B48" s="18" t="s">
        <v>6</v>
      </c>
      <c r="C48" s="52"/>
      <c r="D48" s="16"/>
      <c r="E48" s="15"/>
      <c r="F48" s="15"/>
      <c r="G48" s="16"/>
      <c r="H48" s="16"/>
      <c r="I48" s="16"/>
      <c r="J48" s="15"/>
      <c r="K48" s="16">
        <f>SUM(K46:K47)</f>
        <v>121248.608481</v>
      </c>
    </row>
    <row r="49" spans="1:11" x14ac:dyDescent="0.35">
      <c r="A49" s="14"/>
      <c r="B49" s="13" t="s">
        <v>19</v>
      </c>
      <c r="C49" s="59">
        <v>0.03</v>
      </c>
      <c r="D49" s="16"/>
      <c r="E49" s="15"/>
      <c r="F49" s="15"/>
      <c r="G49" s="16"/>
      <c r="H49" s="16"/>
      <c r="I49" s="16"/>
      <c r="J49" s="15"/>
      <c r="K49" s="16">
        <f>K48*C49</f>
        <v>3637.4582544300001</v>
      </c>
    </row>
    <row r="50" spans="1:11" x14ac:dyDescent="0.35">
      <c r="A50" s="14"/>
      <c r="B50" s="13" t="s">
        <v>28</v>
      </c>
      <c r="C50" s="59">
        <v>0.02</v>
      </c>
      <c r="D50" s="16"/>
      <c r="E50" s="15"/>
      <c r="F50" s="15"/>
      <c r="G50" s="16"/>
      <c r="H50" s="16"/>
      <c r="I50" s="16"/>
      <c r="J50" s="15"/>
      <c r="K50" s="16">
        <f>H42*C50</f>
        <v>196.4</v>
      </c>
    </row>
    <row r="51" spans="1:11" x14ac:dyDescent="0.35">
      <c r="A51" s="14"/>
      <c r="B51" s="18" t="s">
        <v>6</v>
      </c>
      <c r="C51" s="52"/>
      <c r="D51" s="16"/>
      <c r="E51" s="15"/>
      <c r="F51" s="15"/>
      <c r="G51" s="16"/>
      <c r="H51" s="16"/>
      <c r="I51" s="16"/>
      <c r="J51" s="15"/>
      <c r="K51" s="16">
        <f>K50+K49+K48</f>
        <v>125082.46673543</v>
      </c>
    </row>
    <row r="52" spans="1:11" x14ac:dyDescent="0.35">
      <c r="A52" s="8"/>
      <c r="B52" s="8" t="s">
        <v>17</v>
      </c>
      <c r="C52" s="59">
        <v>0.18</v>
      </c>
      <c r="D52" s="16"/>
      <c r="E52" s="15"/>
      <c r="F52" s="15"/>
      <c r="G52" s="15"/>
      <c r="H52" s="15"/>
      <c r="I52" s="15"/>
      <c r="J52" s="15"/>
      <c r="K52" s="16">
        <f>K51*C52</f>
        <v>22514.844012377398</v>
      </c>
    </row>
    <row r="53" spans="1:11" x14ac:dyDescent="0.35">
      <c r="A53" s="7"/>
      <c r="B53" s="11" t="s">
        <v>18</v>
      </c>
      <c r="C53" s="4"/>
      <c r="D53" s="7"/>
      <c r="E53" s="7"/>
      <c r="F53" s="7"/>
      <c r="G53" s="7"/>
      <c r="H53" s="7"/>
      <c r="I53" s="7"/>
      <c r="J53" s="7"/>
      <c r="K53" s="25">
        <f>K52+K51</f>
        <v>147597.31074780741</v>
      </c>
    </row>
  </sheetData>
  <mergeCells count="13">
    <mergeCell ref="B2:K2"/>
    <mergeCell ref="A3:K3"/>
    <mergeCell ref="E4:H4"/>
    <mergeCell ref="I4:K4"/>
    <mergeCell ref="A1:K1"/>
    <mergeCell ref="I5:J5"/>
    <mergeCell ref="K5:K6"/>
    <mergeCell ref="A5:A6"/>
    <mergeCell ref="B5:B6"/>
    <mergeCell ref="C5:C6"/>
    <mergeCell ref="D5:D6"/>
    <mergeCell ref="E5:F5"/>
    <mergeCell ref="G5:H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საერთო ჯამი</vt:lpstr>
      <vt:lpstr>KNMC III  სართული</vt:lpstr>
      <vt:lpstr>KNMC IV სართული</vt:lpstr>
      <vt:lpstr>KNMC V სართული</vt:lpstr>
      <vt:lpstr>KNMC  V სართ. საოპ</vt:lpstr>
      <vt:lpstr>II სართული</vt:lpstr>
      <vt:lpstr>III სართული</vt:lpstr>
      <vt:lpstr>IV სართული</vt:lpstr>
      <vt:lpstr>V სართული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2023-06-15T13:01:48Z</dcterms:modified>
</cp:coreProperties>
</file>