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ileserver\Logistics\თეკლას\EF-GE 656 Warehouse construction works\"/>
    </mc:Choice>
  </mc:AlternateContent>
  <xr:revisionPtr revIDLastSave="0" documentId="13_ncr:1_{C94E4DDF-2F83-406A-B612-8A1657C912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კრებსითი" sheetId="36" r:id="rId1"/>
    <sheet name="მოსამზადებელი" sheetId="37" r:id="rId2"/>
    <sheet name="დემონტაჟი გრუნტი-ინერტულ." sheetId="42" r:id="rId3"/>
    <sheet name="კონსტრუქციული" sheetId="40" r:id="rId4"/>
    <sheet name="არქიტექტურა" sheetId="43" r:id="rId5"/>
  </sheets>
  <definedNames>
    <definedName name="_xlnm._FilterDatabase" localSheetId="2" hidden="1">#N/A</definedName>
    <definedName name="_xlnm._FilterDatabase" localSheetId="3" hidden="1">კონსტრუქციული!$A$5:$K$218</definedName>
    <definedName name="_xlnm.Print_Area" localSheetId="4">არქიტექტურა!$A$1:$K$86</definedName>
    <definedName name="_xlnm.Print_Area" localSheetId="2">#N/A</definedName>
    <definedName name="_xlnm.Print_Area" localSheetId="3">#N/A</definedName>
    <definedName name="_xlnm.Print_Area" localSheetId="0">#N/A</definedName>
    <definedName name="_xlnm.Print_Area" localSheetId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7" l="1"/>
  <c r="A1" i="37" l="1"/>
  <c r="A1" i="42"/>
  <c r="A1" i="40"/>
  <c r="A1" i="43"/>
  <c r="D13" i="36"/>
  <c r="E13" i="36" s="1"/>
  <c r="A11" i="36"/>
  <c r="A12" i="36" s="1"/>
  <c r="A13" i="36" s="1"/>
  <c r="D12" i="36"/>
  <c r="E12" i="36" s="1"/>
  <c r="D11" i="36"/>
  <c r="E11" i="36" s="1"/>
  <c r="D10" i="36"/>
  <c r="H32" i="42"/>
  <c r="J32" i="42"/>
  <c r="K32" i="42"/>
  <c r="F32" i="42"/>
  <c r="H214" i="40"/>
  <c r="J214" i="40"/>
  <c r="K214" i="40"/>
  <c r="H78" i="43"/>
  <c r="J78" i="43"/>
  <c r="K78" i="43"/>
  <c r="F78" i="43"/>
  <c r="D187" i="40"/>
  <c r="D20" i="42"/>
  <c r="D61" i="40"/>
  <c r="D171" i="40"/>
  <c r="D182" i="40"/>
  <c r="D191" i="40"/>
  <c r="D155" i="40"/>
  <c r="D158" i="40"/>
  <c r="D165" i="40"/>
  <c r="D34" i="43"/>
  <c r="D202" i="40"/>
  <c r="D76" i="43"/>
  <c r="A73" i="43"/>
  <c r="A77" i="43" s="1"/>
  <c r="D74" i="43"/>
  <c r="D14" i="36" l="1"/>
  <c r="D15" i="36" s="1"/>
  <c r="A42" i="43"/>
  <c r="D62" i="43"/>
  <c r="D207" i="40"/>
  <c r="D198" i="40"/>
  <c r="D197" i="40"/>
  <c r="D196" i="40"/>
  <c r="D140" i="40"/>
  <c r="D150" i="40"/>
  <c r="D149" i="40"/>
  <c r="D20" i="43"/>
  <c r="D162" i="40"/>
  <c r="D210" i="40" l="1"/>
  <c r="D206" i="40" l="1"/>
  <c r="D203" i="40"/>
  <c r="D208" i="40"/>
  <c r="D204" i="40"/>
  <c r="D209" i="40"/>
  <c r="D199" i="40"/>
  <c r="D188" i="40"/>
  <c r="D183" i="40"/>
  <c r="D178" i="40"/>
  <c r="D177" i="40"/>
  <c r="D176" i="40"/>
  <c r="D181" i="40"/>
  <c r="D169" i="40"/>
  <c r="D159" i="40"/>
  <c r="D157" i="40"/>
  <c r="A157" i="40"/>
  <c r="A158" i="40" s="1"/>
  <c r="A162" i="40" s="1"/>
  <c r="A165" i="40" s="1"/>
  <c r="A171" i="40" s="1"/>
  <c r="A182" i="40" s="1"/>
  <c r="A187" i="40" s="1"/>
  <c r="A191" i="40" s="1"/>
  <c r="A202" i="40" s="1"/>
  <c r="A211" i="40" s="1"/>
  <c r="D148" i="40"/>
  <c r="D144" i="40" s="1"/>
  <c r="D71" i="43"/>
  <c r="D69" i="43"/>
  <c r="A47" i="43"/>
  <c r="A52" i="43" s="1"/>
  <c r="A57" i="43" s="1"/>
  <c r="D56" i="43"/>
  <c r="D55" i="43"/>
  <c r="D53" i="43"/>
  <c r="C53" i="43"/>
  <c r="C55" i="43" s="1"/>
  <c r="D57" i="43"/>
  <c r="D51" i="43"/>
  <c r="D50" i="43"/>
  <c r="D48" i="43"/>
  <c r="C48" i="43"/>
  <c r="C50" i="43" s="1"/>
  <c r="D42" i="43"/>
  <c r="D45" i="43" s="1"/>
  <c r="D41" i="43"/>
  <c r="D40" i="43"/>
  <c r="D152" i="40" l="1"/>
  <c r="D151" i="40"/>
  <c r="D180" i="40"/>
  <c r="D200" i="40"/>
  <c r="D185" i="40"/>
  <c r="D186" i="40"/>
  <c r="D161" i="40"/>
  <c r="D156" i="40"/>
  <c r="D190" i="40"/>
  <c r="D164" i="40"/>
  <c r="D201" i="40"/>
  <c r="D145" i="40"/>
  <c r="D193" i="40"/>
  <c r="D172" i="40"/>
  <c r="D175" i="40"/>
  <c r="D179" i="40"/>
  <c r="D173" i="40"/>
  <c r="D166" i="40"/>
  <c r="D170" i="40"/>
  <c r="D167" i="40"/>
  <c r="D192" i="40"/>
  <c r="D195" i="40"/>
  <c r="D43" i="43"/>
  <c r="D46" i="43"/>
  <c r="D38" i="43"/>
  <c r="D146" i="40" l="1"/>
  <c r="D153" i="40"/>
  <c r="D163" i="40"/>
  <c r="D29" i="43" l="1"/>
  <c r="D65" i="43" l="1"/>
  <c r="D60" i="43"/>
  <c r="D35" i="43"/>
  <c r="D30" i="43"/>
  <c r="D28" i="43"/>
  <c r="D27" i="43"/>
  <c r="D24" i="43"/>
  <c r="D22" i="43"/>
  <c r="C21" i="43"/>
  <c r="C22" i="43" s="1"/>
  <c r="D26" i="43"/>
  <c r="A20" i="43"/>
  <c r="A29" i="43" s="1"/>
  <c r="D19" i="43"/>
  <c r="D18" i="43"/>
  <c r="D15" i="43"/>
  <c r="D13" i="43"/>
  <c r="C12" i="43"/>
  <c r="C13" i="43" s="1"/>
  <c r="D17" i="43"/>
  <c r="A62" i="43" l="1"/>
  <c r="D63" i="43"/>
  <c r="D58" i="43"/>
  <c r="D66" i="43"/>
  <c r="D25" i="43"/>
  <c r="D61" i="43"/>
  <c r="D12" i="43"/>
  <c r="D21" i="43"/>
  <c r="D16" i="43"/>
  <c r="F214" i="40"/>
  <c r="D18" i="42" l="1"/>
  <c r="C15" i="42"/>
  <c r="D14" i="42"/>
  <c r="D13" i="42"/>
  <c r="D15" i="42" s="1"/>
  <c r="C13" i="42"/>
  <c r="A12" i="42"/>
  <c r="A16" i="42" s="1"/>
  <c r="A17" i="42" s="1"/>
  <c r="A18" i="42" s="1"/>
  <c r="D10" i="42"/>
  <c r="D11" i="42" s="1"/>
  <c r="D27" i="42"/>
  <c r="D33" i="40"/>
  <c r="D138" i="40"/>
  <c r="D139" i="40"/>
  <c r="D70" i="40"/>
  <c r="D68" i="40"/>
  <c r="D67" i="40"/>
  <c r="D66" i="40"/>
  <c r="D65" i="40"/>
  <c r="D63" i="40"/>
  <c r="D62" i="40"/>
  <c r="D123" i="40"/>
  <c r="A15" i="40"/>
  <c r="A24" i="40" s="1"/>
  <c r="A33" i="40" s="1"/>
  <c r="A38" i="40" s="1"/>
  <c r="A51" i="40" s="1"/>
  <c r="A61" i="40" s="1"/>
  <c r="A71" i="40" s="1"/>
  <c r="D47" i="40"/>
  <c r="D46" i="40"/>
  <c r="D45" i="40"/>
  <c r="D44" i="40"/>
  <c r="D43" i="40"/>
  <c r="D38" i="40"/>
  <c r="D42" i="40" s="1"/>
  <c r="D20" i="40"/>
  <c r="D119" i="40"/>
  <c r="D118" i="40"/>
  <c r="D117" i="40"/>
  <c r="D116" i="40"/>
  <c r="D111" i="40"/>
  <c r="D112" i="40" s="1"/>
  <c r="D107" i="40"/>
  <c r="D106" i="40"/>
  <c r="D105" i="40"/>
  <c r="D104" i="40"/>
  <c r="D100" i="40"/>
  <c r="D95" i="40"/>
  <c r="D94" i="40"/>
  <c r="D93" i="40"/>
  <c r="D92" i="40"/>
  <c r="D91" i="40"/>
  <c r="D90" i="40"/>
  <c r="D85" i="40"/>
  <c r="D97" i="40" s="1"/>
  <c r="D81" i="40"/>
  <c r="D80" i="40"/>
  <c r="D79" i="40"/>
  <c r="D78" i="40"/>
  <c r="D77" i="40"/>
  <c r="D76" i="40"/>
  <c r="D71" i="40"/>
  <c r="D83" i="40" s="1"/>
  <c r="D134" i="40" l="1"/>
  <c r="A85" i="40"/>
  <c r="A99" i="40" s="1"/>
  <c r="A111" i="40" s="1"/>
  <c r="A123" i="40" s="1"/>
  <c r="A134" i="40" s="1"/>
  <c r="D69" i="40"/>
  <c r="D101" i="40"/>
  <c r="D73" i="40"/>
  <c r="D87" i="40"/>
  <c r="D48" i="40"/>
  <c r="D113" i="40"/>
  <c r="D39" i="40"/>
  <c r="D40" i="40"/>
  <c r="D49" i="40"/>
  <c r="D50" i="40"/>
  <c r="D103" i="40"/>
  <c r="D120" i="40"/>
  <c r="D115" i="40"/>
  <c r="D109" i="40"/>
  <c r="D121" i="40"/>
  <c r="D108" i="40"/>
  <c r="D122" i="40"/>
  <c r="D96" i="40"/>
  <c r="D110" i="40"/>
  <c r="D82" i="40"/>
  <c r="D86" i="40"/>
  <c r="D89" i="40"/>
  <c r="D98" i="40"/>
  <c r="D72" i="40"/>
  <c r="D75" i="40"/>
  <c r="D84" i="40"/>
  <c r="D142" i="40" l="1"/>
  <c r="D141" i="40"/>
  <c r="D136" i="40"/>
  <c r="D135" i="40"/>
  <c r="D143" i="40"/>
  <c r="A144" i="40"/>
  <c r="A212" i="40" s="1"/>
  <c r="A213" i="40" s="1"/>
  <c r="D60" i="40"/>
  <c r="D28" i="42" l="1"/>
  <c r="D57" i="40"/>
  <c r="D56" i="40"/>
  <c r="D29" i="40"/>
  <c r="D23" i="40"/>
  <c r="D17" i="40"/>
  <c r="D133" i="40"/>
  <c r="D125" i="40" l="1"/>
  <c r="D29" i="42"/>
  <c r="D31" i="42"/>
  <c r="D124" i="40" l="1"/>
  <c r="D24" i="42" l="1"/>
  <c r="D21" i="42"/>
  <c r="D23" i="42" l="1"/>
  <c r="D26" i="42"/>
  <c r="D26" i="40" l="1"/>
  <c r="J14" i="37" l="1"/>
  <c r="D36" i="40"/>
  <c r="D34" i="40"/>
  <c r="D58" i="40"/>
  <c r="D59" i="40"/>
  <c r="D55" i="40"/>
  <c r="D53" i="40"/>
  <c r="D52" i="40"/>
  <c r="D32" i="40"/>
  <c r="D30" i="40"/>
  <c r="D31" i="40"/>
  <c r="D28" i="40"/>
  <c r="D25" i="40"/>
  <c r="D19" i="40"/>
  <c r="D14" i="40"/>
  <c r="D13" i="40"/>
  <c r="D11" i="40"/>
  <c r="D10" i="40"/>
  <c r="A12" i="37"/>
  <c r="A13" i="37" s="1"/>
  <c r="A10" i="37"/>
  <c r="H14" i="37" l="1"/>
  <c r="D16" i="40"/>
  <c r="D127" i="40"/>
  <c r="D128" i="40"/>
  <c r="D129" i="40"/>
  <c r="D21" i="40"/>
  <c r="D37" i="40"/>
  <c r="D213" i="40" l="1"/>
  <c r="D22" i="40"/>
  <c r="D130" i="40"/>
  <c r="D131" i="40" s="1"/>
  <c r="K14" i="37" l="1"/>
  <c r="F14" i="37"/>
  <c r="D132" i="40"/>
  <c r="E10" i="36" l="1"/>
  <c r="E14" i="36" s="1"/>
  <c r="E15" i="36" l="1"/>
  <c r="E16" i="36" l="1"/>
  <c r="D16" i="36"/>
</calcChain>
</file>

<file path=xl/sharedStrings.xml><?xml version="1.0" encoding="utf-8"?>
<sst xmlns="http://schemas.openxmlformats.org/spreadsheetml/2006/main" count="688" uniqueCount="182">
  <si>
    <t>#</t>
  </si>
  <si>
    <t>მოსამზადებელი სამუშაოები</t>
  </si>
  <si>
    <t>დროებითი ღობის მოწყობა</t>
  </si>
  <si>
    <t>მ²</t>
  </si>
  <si>
    <t>დროებითი ელექტრომომარაგების მოწყობა</t>
  </si>
  <si>
    <t>ლარი</t>
  </si>
  <si>
    <t>დროებითი საოფისე კონტეინერის მოწყობა</t>
  </si>
  <si>
    <t>თვე</t>
  </si>
  <si>
    <t>დროებითი სასაწყობე კონტეინერის მოწყობა</t>
  </si>
  <si>
    <t>მ³</t>
  </si>
  <si>
    <t>ტ</t>
  </si>
  <si>
    <t>შრომის დანახარჯები</t>
  </si>
  <si>
    <t>მასალა:</t>
  </si>
  <si>
    <t>სხვა მანქანა</t>
  </si>
  <si>
    <t>სხვა მასალა</t>
  </si>
  <si>
    <t>მონოლითური რკ/ბ წერტილოვანი საძირკვლების მოწყობა</t>
  </si>
  <si>
    <t>ბეტონი B25 კ-1.02</t>
  </si>
  <si>
    <t>საყალიბე მასალა</t>
  </si>
  <si>
    <t>ჯამი</t>
  </si>
  <si>
    <t>ზედნადები ხარჯები</t>
  </si>
  <si>
    <t>გეგმიური დაგროვება</t>
  </si>
  <si>
    <t>დ.ღ.გ</t>
  </si>
  <si>
    <t>საქსოვი მავთული</t>
  </si>
  <si>
    <t>კგ</t>
  </si>
  <si>
    <t>ხელფასი</t>
  </si>
  <si>
    <t>მასალა</t>
  </si>
  <si>
    <t>სამუშაოს დასახელება</t>
  </si>
  <si>
    <t>მონოლითური რკ/ბ იატაკის ფილის მოწყობა , მოპრიალებით , ▼0,00 (B25 ბეტონით)</t>
  </si>
  <si>
    <r>
      <t>მ</t>
    </r>
    <r>
      <rPr>
        <vertAlign val="superscript"/>
        <sz val="10"/>
        <rFont val="Calibri"/>
        <family val="2"/>
        <scheme val="minor"/>
      </rPr>
      <t>2</t>
    </r>
  </si>
  <si>
    <t>არმატურა A500C Ø12≤</t>
  </si>
  <si>
    <t>მანქანა-მექანიზმები</t>
  </si>
  <si>
    <r>
      <t>მ</t>
    </r>
    <r>
      <rPr>
        <b/>
        <sz val="10"/>
        <rFont val="Calibri"/>
        <family val="2"/>
      </rPr>
      <t>²</t>
    </r>
  </si>
  <si>
    <t>ბიტუმის მასტიკა</t>
  </si>
  <si>
    <t>მ2</t>
  </si>
  <si>
    <t>ტექნოლოგიური მასალები</t>
  </si>
  <si>
    <t>ამწის მომსახურეობა</t>
  </si>
  <si>
    <t>მ3</t>
  </si>
  <si>
    <t>საძირკვლების იზოლაცია</t>
  </si>
  <si>
    <t>არმატურა A500C Ø8</t>
  </si>
  <si>
    <t>არმატურა A500C Ø10</t>
  </si>
  <si>
    <t>ბაგირი</t>
  </si>
  <si>
    <t>პომპის მომსახურეობა</t>
  </si>
  <si>
    <t>ბიოტუალეტის მოწყობა</t>
  </si>
  <si>
    <t>დაჭრა-შევსება</t>
  </si>
  <si>
    <t>$</t>
  </si>
  <si>
    <t>ჯამი (GEL)</t>
  </si>
  <si>
    <t xml:space="preserve">ჯამი (USD) </t>
  </si>
  <si>
    <t>კონსტრუქციული ნაწილი</t>
  </si>
  <si>
    <t>სულ ჯამური ღირებულება</t>
  </si>
  <si>
    <t>განზ. 
ერთ.</t>
  </si>
  <si>
    <t>რაოდ.</t>
  </si>
  <si>
    <t>ერთ. ფასი</t>
  </si>
  <si>
    <t>სულ 
ფასი</t>
  </si>
  <si>
    <t>კონსტრუქციული  ნაწილი</t>
  </si>
  <si>
    <t>ბეტონი B15  კ-1.02</t>
  </si>
  <si>
    <t>სამუშაოების ჩამონათვალი</t>
  </si>
  <si>
    <t xml:space="preserve">გრუნტის მოჭრა და გატანა ნაყარში   </t>
  </si>
  <si>
    <t>ექსკავატორი კოვშის მოც: 0,65 მ³</t>
  </si>
  <si>
    <t>მექანიკური სატკეპნი</t>
  </si>
  <si>
    <t>ბალასტი</t>
  </si>
  <si>
    <t>ღორღი (0-20) მმ</t>
  </si>
  <si>
    <t>გრუნტი-ინერტული</t>
  </si>
  <si>
    <t>კომპ</t>
  </si>
  <si>
    <t xml:space="preserve"> რკ/ბ სოკეტების მოწყობა (პრეკასტი)</t>
  </si>
  <si>
    <t>პოლიეთილენის ფირი</t>
  </si>
  <si>
    <t>ჟოლობების ჰიდროსაიზოლაციო სამუშაოები</t>
  </si>
  <si>
    <t xml:space="preserve">მონოლითური რკ/ბ სვეტების (Precast) მოწყობა </t>
  </si>
  <si>
    <t>სხვა მანქანა(მანქანა-მექანიზმები)</t>
  </si>
  <si>
    <t>ბეტონი B40</t>
  </si>
  <si>
    <t>არმატურა A-I Ø8</t>
  </si>
  <si>
    <t>არმატურა A-III Ø16</t>
  </si>
  <si>
    <t>არმატურა A-III Ø20</t>
  </si>
  <si>
    <t>არმატურა A-III Ø22</t>
  </si>
  <si>
    <t>არმატურა A-III Ø25</t>
  </si>
  <si>
    <t xml:space="preserve">მონოლითური რკ/ბ ფერმების (Precast) მოწყობა </t>
  </si>
  <si>
    <t>არმატურა A-III Ø10</t>
  </si>
  <si>
    <t>არმატურა A-III Ø14</t>
  </si>
  <si>
    <t xml:space="preserve">მონოლითური რკ/ბ გრძივების (Precast) მოწყობა </t>
  </si>
  <si>
    <t>არმატურა A-III Ø12</t>
  </si>
  <si>
    <t xml:space="preserve">მონოლითური რკ/ბ რიგელის 40/60 (Precast) მოწყობა </t>
  </si>
  <si>
    <t>არმატურა A500C Ø14≤</t>
  </si>
  <si>
    <t>სადემონტაჟო სამუშაოები</t>
  </si>
  <si>
    <t>არსებული რკ/ბეტონის საწყობების დემონტაჟი</t>
  </si>
  <si>
    <t>მექანიზმები</t>
  </si>
  <si>
    <t>არსებული 2 ლითონის ავზის დემონტაჟი და გადატანა ტერიტორიაზე</t>
  </si>
  <si>
    <t>ც.</t>
  </si>
  <si>
    <t>ამწე-მექანიზმები</t>
  </si>
  <si>
    <t xml:space="preserve">ასფალტის დაჭრა </t>
  </si>
  <si>
    <t>გრძ/მ</t>
  </si>
  <si>
    <t>არსებული ჭაბურღილების დალუქვა</t>
  </si>
  <si>
    <t>დემონტირებული რკ/ბეტონის ნარჩენების გატანა ნაგავსაყრელზე</t>
  </si>
  <si>
    <t>მონოლითური რკ/ბ  რანდკოჭის მოწყობა</t>
  </si>
  <si>
    <t>მონოლითური რკ/ბ  კედლის მოწყობა</t>
  </si>
  <si>
    <t>ლითონის  გრძივების მოწყობა კედლებზე</t>
  </si>
  <si>
    <t>ტ.</t>
  </si>
  <si>
    <t>ლითონის ფურცლოვანი სისქით 10 მმ.</t>
  </si>
  <si>
    <t>ლითონის კვადრატული მილი 120X80X4</t>
  </si>
  <si>
    <t>ლითონის კუთხოვანი 80X80X3</t>
  </si>
  <si>
    <t>ღორღის ფენის მოწყობა  და დატკეპნა</t>
  </si>
  <si>
    <t>მიწის სამუშაოები</t>
  </si>
  <si>
    <t>იატაკის ქვეშ ბალასტის ფენის მოწყობა</t>
  </si>
  <si>
    <t>%</t>
  </si>
  <si>
    <t>ბეტონის მომზადებების მოწყობა B15  ბეტონისგან</t>
  </si>
  <si>
    <t>საორიენტაციო ხარჯთაღრიცხვა</t>
  </si>
  <si>
    <t>ganz.</t>
  </si>
  <si>
    <t>masala</t>
  </si>
  <si>
    <t>xelfasi</t>
  </si>
  <si>
    <t xml:space="preserve">manqana meqanizmebi </t>
  </si>
  <si>
    <t>jami</t>
  </si>
  <si>
    <t>samuSaoTa dasaxeleba</t>
  </si>
  <si>
    <t>sul</t>
  </si>
  <si>
    <t>erT.</t>
  </si>
  <si>
    <t>fasi</t>
  </si>
  <si>
    <t>სამშენებლო სამუშაოები</t>
  </si>
  <si>
    <r>
      <t>მ</t>
    </r>
    <r>
      <rPr>
        <vertAlign val="superscript"/>
        <sz val="10"/>
        <rFont val="Calibri"/>
        <family val="2"/>
        <charset val="204"/>
        <scheme val="minor"/>
      </rPr>
      <t>2</t>
    </r>
  </si>
  <si>
    <t>ფასონური ელემენტების,აქსესუარების მოწყობა</t>
  </si>
  <si>
    <t>გრძ.მ</t>
  </si>
  <si>
    <t>შურუფი</t>
  </si>
  <si>
    <t>ცალი</t>
  </si>
  <si>
    <t>გერმეტიკი</t>
  </si>
  <si>
    <t>წყალსაწრეტი მილების მოწყობა</t>
  </si>
  <si>
    <t>მ</t>
  </si>
  <si>
    <t>ძაბრი</t>
  </si>
  <si>
    <t>სჭვალი</t>
  </si>
  <si>
    <t>კარ-ფანჯარა</t>
  </si>
  <si>
    <t>მეტალოპლასტმასის ფანჯრების მოწყობა</t>
  </si>
  <si>
    <t>მეტალოპლასტმასის ფანჯარა</t>
  </si>
  <si>
    <t>მეტალოპლასტმასის კარებების მოწყობა</t>
  </si>
  <si>
    <t>მეტალოპლასტმასის კარები</t>
  </si>
  <si>
    <t>ამწის და კალათის მომსახურება სამშენებლო სამუშაოებზე</t>
  </si>
  <si>
    <t>მანქ/დღე</t>
  </si>
  <si>
    <t>უსაფრთხოების ხარჯი</t>
  </si>
  <si>
    <t>კედლებზე სენდვიჩ-პანელების მოწყობა 80 მმ</t>
  </si>
  <si>
    <t>სახურავზე სენდვიჩ-პანელების მოწყობა 100 მმ</t>
  </si>
  <si>
    <t>სახურავის სენდვიჩ პანელი სისქით 100მმ.</t>
  </si>
  <si>
    <t>კედლის სენდვიჩ პანელი სისქით 80მმ.</t>
  </si>
  <si>
    <t>ალუმინის ვიტრაჟი (ჭერზე სინათლის ლუქი)</t>
  </si>
  <si>
    <t>სექციური კარებების მოწყობა</t>
  </si>
  <si>
    <t>სექციური კარი</t>
  </si>
  <si>
    <t>დოკლეველერების მოწყობა</t>
  </si>
  <si>
    <t>დოკლეველერი</t>
  </si>
  <si>
    <t>შელტერის მოწყობა</t>
  </si>
  <si>
    <t>შელტერი</t>
  </si>
  <si>
    <t>კიბეები</t>
  </si>
  <si>
    <t>საფეხ.</t>
  </si>
  <si>
    <r>
      <t>მ</t>
    </r>
    <r>
      <rPr>
        <sz val="9"/>
        <color theme="1"/>
        <rFont val="Calibri"/>
        <family val="2"/>
      </rPr>
      <t>²</t>
    </r>
  </si>
  <si>
    <t>ლითონის ელემენტები</t>
  </si>
  <si>
    <t>ლითონის მოაჯირი</t>
  </si>
  <si>
    <t>ჭერში სინათლის ლუქის მოწყობა</t>
  </si>
  <si>
    <t xml:space="preserve">III კატეგორიის გრუნტის დამუშავება ექსკავატორით </t>
  </si>
  <si>
    <t>ექსკავატორი 0.5 მ3 ჩამჩის ტევადობით</t>
  </si>
  <si>
    <t>ზედმეტი გრუნტის გატანა არსებულ ტერიტორიაზე</t>
  </si>
  <si>
    <t>ბალასტის მოწყობა საძირკვლებში</t>
  </si>
  <si>
    <t>საფუძვლის დატკეპნა პნევმოსატკეპნებით</t>
  </si>
  <si>
    <t>კატოკი გლუვი (თვითმავალი)</t>
  </si>
  <si>
    <t>ბეტონის მომზადება  B7,5 ბეტონისგან</t>
  </si>
  <si>
    <t>ბეტონი B7,5 კ-1.02</t>
  </si>
  <si>
    <t>მონოლითური რკ/ბ ლენტური საძირკვლის მოწყობა</t>
  </si>
  <si>
    <t>ბეტონი B25</t>
  </si>
  <si>
    <t>არმატურა A-III Ø14≤</t>
  </si>
  <si>
    <r>
      <t>მ</t>
    </r>
    <r>
      <rPr>
        <sz val="10"/>
        <rFont val="Calibri"/>
        <family val="2"/>
      </rPr>
      <t>²</t>
    </r>
  </si>
  <si>
    <t>ბალასტის ჩაყრა</t>
  </si>
  <si>
    <t>მონოლითური რკ/ბ პანდუსის მოწყობა</t>
  </si>
  <si>
    <t>მანქ. დღე</t>
  </si>
  <si>
    <t>დამატებითი პლატფორმა და ჭაბურღილის შემოფარგვლა</t>
  </si>
  <si>
    <t>ლითონის კვადრატული მილი 100X100X4</t>
  </si>
  <si>
    <t>ლითონის კონსტრუქციების მოწყობა გარე შენობისათვის, დამატებითი პლატფორმისათვის და ჭაბურღილის შემოფარგვლისათვის (შეღებვით)</t>
  </si>
  <si>
    <t>გრუნტი</t>
  </si>
  <si>
    <t>ანტიკოროზიული საღებავი</t>
  </si>
  <si>
    <t>მონოლითური რკ/ბ ცოკოლის კედლების მოწყობა</t>
  </si>
  <si>
    <t>ლითონის კიბის მოწყობა</t>
  </si>
  <si>
    <t>ლითონის მოაჯირების მოწყობა</t>
  </si>
  <si>
    <t>წყალსაწრეტი მილი</t>
  </si>
  <si>
    <t>საძირკვლებისა და კედლების დამუშავება ბიტუმის მასტიკით გრუნტის შეხების ადგილებში</t>
  </si>
  <si>
    <t xml:space="preserve">მონოლითური რკ/ბ ჟოლობის (Precast) მოწყობა </t>
  </si>
  <si>
    <t>სატრანსპორტო ხარჯები</t>
  </si>
  <si>
    <t>არქიტექტურული ნაწილი</t>
  </si>
  <si>
    <t>ნატახტარი ახალი სასაწყობე შენობა</t>
  </si>
  <si>
    <t>კომპანიის დასახელება</t>
  </si>
  <si>
    <t>საკონტაქტო ინფორმაცია</t>
  </si>
  <si>
    <t>გადახდის პირობა (სქემა)</t>
  </si>
  <si>
    <t>სამუშაოს ჩაბარების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</si>
</sst>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₽&quot;_-;\-* #,##0.00\ &quot;₽&quot;_-;_-* &quot;-&quot;??\ &quot;₽&quot;_-;_-@_-"/>
    <numFmt numFmtId="165" formatCode="_-* #,##0.00\ _₾_-;\-* #,##0.00\ _₾_-;_-* &quot;-&quot;??\ _₾_-;_-@_-"/>
    <numFmt numFmtId="166" formatCode="#,##0.00\ &quot;₽&quot;"/>
    <numFmt numFmtId="167" formatCode="_-* #,##0.00_р_._-;\-* #,##0.00_р_._-;_-* &quot;-&quot;??_р_._-;_-@_-"/>
    <numFmt numFmtId="168" formatCode="_-[$$-409]* #,##0.00_ ;_-[$$-409]* \-#,##0.00\ ;_-[$$-409]* &quot;-&quot;??_ ;_-@_ "/>
    <numFmt numFmtId="169" formatCode="#,##0.000000000"/>
    <numFmt numFmtId="170" formatCode="_-* #,##0.00\ [$₾-437]_-;\-* #,##0.00\ [$₾-437]_-;_-* &quot;-&quot;??\ [$₾-437]_-;_-@_-"/>
    <numFmt numFmtId="171" formatCode="#,##0.0000\ &quot;₽&quot;"/>
    <numFmt numFmtId="172" formatCode="#,##0.00\ [$₾-437]"/>
    <numFmt numFmtId="173" formatCode="_([$$-409]* #,##0.00_);_([$$-409]* \(#,##0.00\);_([$$-409]* &quot;-&quot;??_);_(@_)"/>
    <numFmt numFmtId="174" formatCode="0.000"/>
    <numFmt numFmtId="175" formatCode="_-* #,##0.00\ _L_a_r_i_-;\-* #,##0.00\ _L_a_r_i_-;_-* &quot;-&quot;??\ _L_a_r_i_-;_-@_-"/>
  </numFmts>
  <fonts count="68"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cadNusx"/>
    </font>
    <font>
      <b/>
      <sz val="11"/>
      <color theme="0"/>
      <name val="AcadNusx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AcadNusx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Acadnusd"/>
    </font>
    <font>
      <b/>
      <sz val="10"/>
      <color theme="1"/>
      <name val="Acadnusd"/>
    </font>
    <font>
      <i/>
      <sz val="10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charset val="204"/>
      <scheme val="minor"/>
    </font>
    <font>
      <b/>
      <sz val="14"/>
      <name val="Calibri Light"/>
      <family val="1"/>
      <scheme val="major"/>
    </font>
    <font>
      <b/>
      <sz val="14"/>
      <name val="AcadNusx"/>
    </font>
    <font>
      <b/>
      <sz val="11"/>
      <name val="Calibri Light"/>
      <family val="1"/>
      <scheme val="maj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i/>
      <sz val="11"/>
      <color theme="1"/>
      <name val="Calibri Light"/>
      <family val="1"/>
      <scheme val="major"/>
    </font>
    <font>
      <sz val="11"/>
      <name val="Arial"/>
      <family val="2"/>
    </font>
    <font>
      <sz val="11"/>
      <color theme="1"/>
      <name val="Calibri Light"/>
      <family val="1"/>
      <scheme val="major"/>
    </font>
    <font>
      <b/>
      <sz val="11"/>
      <name val="Calibri"/>
      <family val="2"/>
      <charset val="204"/>
    </font>
    <font>
      <sz val="10"/>
      <name val="Calibri Light"/>
      <family val="1"/>
      <scheme val="major"/>
    </font>
    <font>
      <sz val="10"/>
      <color theme="0"/>
      <name val="Calibri"/>
      <family val="1"/>
      <scheme val="minor"/>
    </font>
    <font>
      <b/>
      <sz val="10"/>
      <color theme="0"/>
      <name val="Calibri"/>
      <family val="1"/>
      <scheme val="minor"/>
    </font>
    <font>
      <sz val="10"/>
      <color theme="1"/>
      <name val="Calibri Light"/>
      <family val="1"/>
      <scheme val="major"/>
    </font>
    <font>
      <sz val="11"/>
      <color theme="1"/>
      <name val="Arial"/>
      <family val="2"/>
      <charset val="1"/>
    </font>
    <font>
      <b/>
      <sz val="10"/>
      <name val="Calibri Light"/>
      <family val="1"/>
      <scheme val="major"/>
    </font>
    <font>
      <sz val="10"/>
      <color theme="1"/>
      <name val="Calibri"/>
      <family val="2"/>
      <charset val="1"/>
      <scheme val="minor"/>
    </font>
    <font>
      <sz val="10"/>
      <name val="Times New Roman"/>
      <family val="1"/>
      <charset val="1"/>
    </font>
    <font>
      <sz val="10"/>
      <name val="Acadnusd"/>
      <charset val="1"/>
    </font>
    <font>
      <sz val="10"/>
      <color theme="1"/>
      <name val="Acadnusd"/>
      <charset val="1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 Light"/>
      <family val="1"/>
      <scheme val="major"/>
    </font>
    <font>
      <b/>
      <sz val="10"/>
      <color theme="0"/>
      <name val="Calibri Light"/>
      <family val="1"/>
      <scheme val="major"/>
    </font>
    <font>
      <sz val="10"/>
      <name val="Times New Roman"/>
      <family val="1"/>
    </font>
    <font>
      <b/>
      <u/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4" fillId="0" borderId="0"/>
    <xf numFmtId="9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4" fillId="0" borderId="0"/>
    <xf numFmtId="0" fontId="21" fillId="0" borderId="0"/>
    <xf numFmtId="0" fontId="25" fillId="0" borderId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</cellStyleXfs>
  <cellXfs count="241">
    <xf numFmtId="0" fontId="0" fillId="0" borderId="0" xfId="0"/>
    <xf numFmtId="166" fontId="2" fillId="0" borderId="0" xfId="0" applyNumberFormat="1" applyFont="1" applyAlignment="1">
      <alignment horizontal="center" vertical="center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/>
    <xf numFmtId="0" fontId="24" fillId="0" borderId="0" xfId="0" applyFont="1"/>
    <xf numFmtId="0" fontId="13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top" wrapText="1"/>
    </xf>
    <xf numFmtId="0" fontId="28" fillId="0" borderId="0" xfId="0" applyFont="1"/>
    <xf numFmtId="0" fontId="14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43" fontId="13" fillId="3" borderId="3" xfId="0" applyNumberFormat="1" applyFont="1" applyFill="1" applyBorder="1" applyAlignment="1">
      <alignment vertical="center" wrapText="1"/>
    </xf>
    <xf numFmtId="43" fontId="14" fillId="3" borderId="3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67" fontId="6" fillId="4" borderId="1" xfId="3" applyFont="1" applyFill="1" applyBorder="1" applyAlignment="1" applyProtection="1">
      <alignment horizontal="center" vertical="center"/>
    </xf>
    <xf numFmtId="167" fontId="6" fillId="4" borderId="2" xfId="3" applyFont="1" applyFill="1" applyBorder="1" applyAlignment="1" applyProtection="1">
      <alignment horizontal="center" vertical="center"/>
    </xf>
    <xf numFmtId="166" fontId="33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horizontal="center" vertical="center"/>
    </xf>
    <xf numFmtId="166" fontId="34" fillId="0" borderId="0" xfId="0" applyNumberFormat="1" applyFont="1" applyAlignment="1">
      <alignment horizontal="center" vertical="center"/>
    </xf>
    <xf numFmtId="172" fontId="35" fillId="0" borderId="3" xfId="0" applyNumberFormat="1" applyFont="1" applyBorder="1" applyAlignment="1">
      <alignment horizontal="center" vertical="center" wrapText="1"/>
    </xf>
    <xf numFmtId="172" fontId="14" fillId="0" borderId="3" xfId="0" applyNumberFormat="1" applyFont="1" applyBorder="1" applyAlignment="1">
      <alignment horizontal="center" vertical="center" wrapText="1"/>
    </xf>
    <xf numFmtId="168" fontId="35" fillId="0" borderId="3" xfId="8" applyNumberFormat="1" applyFont="1" applyBorder="1" applyAlignment="1">
      <alignment horizontal="center" vertical="center"/>
    </xf>
    <xf numFmtId="168" fontId="13" fillId="0" borderId="0" xfId="0" applyNumberFormat="1" applyFont="1"/>
    <xf numFmtId="173" fontId="13" fillId="0" borderId="0" xfId="0" applyNumberFormat="1" applyFont="1"/>
    <xf numFmtId="172" fontId="36" fillId="0" borderId="3" xfId="0" applyNumberFormat="1" applyFont="1" applyBorder="1" applyAlignment="1">
      <alignment horizontal="center" vertical="center" wrapText="1"/>
    </xf>
    <xf numFmtId="165" fontId="36" fillId="0" borderId="3" xfId="10" applyFont="1" applyFill="1" applyBorder="1" applyAlignment="1">
      <alignment horizontal="center" vertical="center" wrapText="1"/>
    </xf>
    <xf numFmtId="172" fontId="13" fillId="0" borderId="3" xfId="0" applyNumberFormat="1" applyFont="1" applyBorder="1" applyAlignment="1">
      <alignment horizontal="center" vertical="center" wrapText="1"/>
    </xf>
    <xf numFmtId="9" fontId="13" fillId="0" borderId="3" xfId="10" applyNumberFormat="1" applyFont="1" applyFill="1" applyBorder="1" applyAlignment="1">
      <alignment horizontal="center" vertical="center" wrapText="1"/>
    </xf>
    <xf numFmtId="44" fontId="13" fillId="0" borderId="0" xfId="9" applyFont="1"/>
    <xf numFmtId="168" fontId="35" fillId="0" borderId="0" xfId="8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/>
    </xf>
    <xf numFmtId="170" fontId="13" fillId="0" borderId="0" xfId="0" applyNumberFormat="1" applyFont="1" applyAlignment="1">
      <alignment horizontal="center" vertical="center"/>
    </xf>
    <xf numFmtId="169" fontId="13" fillId="0" borderId="0" xfId="0" applyNumberFormat="1" applyFont="1"/>
    <xf numFmtId="2" fontId="36" fillId="0" borderId="0" xfId="0" applyNumberFormat="1" applyFont="1"/>
    <xf numFmtId="2" fontId="36" fillId="0" borderId="0" xfId="0" applyNumberFormat="1" applyFont="1" applyAlignment="1">
      <alignment horizontal="center" vertical="center"/>
    </xf>
    <xf numFmtId="166" fontId="37" fillId="0" borderId="0" xfId="0" applyNumberFormat="1" applyFont="1" applyAlignment="1">
      <alignment horizontal="center" vertical="center"/>
    </xf>
    <xf numFmtId="166" fontId="38" fillId="0" borderId="0" xfId="0" applyNumberFormat="1" applyFont="1" applyAlignment="1">
      <alignment horizontal="center" vertical="center"/>
    </xf>
    <xf numFmtId="166" fontId="38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0" fontId="39" fillId="0" borderId="0" xfId="0" applyFont="1"/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9" fontId="6" fillId="4" borderId="3" xfId="2" applyFont="1" applyFill="1" applyBorder="1" applyAlignment="1" applyProtection="1">
      <alignment horizontal="center" vertical="center" wrapText="1"/>
    </xf>
    <xf numFmtId="167" fontId="6" fillId="4" borderId="3" xfId="3" applyFont="1" applyFill="1" applyBorder="1" applyAlignment="1" applyProtection="1">
      <alignment horizontal="center" vertical="center"/>
    </xf>
    <xf numFmtId="167" fontId="6" fillId="4" borderId="3" xfId="3" applyFont="1" applyFill="1" applyBorder="1" applyAlignment="1" applyProtection="1">
      <alignment horizontal="center" vertical="center" wrapText="1"/>
    </xf>
    <xf numFmtId="0" fontId="41" fillId="0" borderId="0" xfId="0" applyFont="1"/>
    <xf numFmtId="0" fontId="6" fillId="4" borderId="2" xfId="1" applyFont="1" applyFill="1" applyBorder="1" applyAlignment="1">
      <alignment horizontal="center" vertical="center" wrapText="1"/>
    </xf>
    <xf numFmtId="9" fontId="6" fillId="4" borderId="3" xfId="2" applyFont="1" applyFill="1" applyBorder="1" applyAlignment="1" applyProtection="1">
      <alignment horizontal="center" vertical="center"/>
    </xf>
    <xf numFmtId="43" fontId="13" fillId="3" borderId="3" xfId="0" applyNumberFormat="1" applyFont="1" applyFill="1" applyBorder="1" applyAlignment="1">
      <alignment horizontal="center" vertical="center" wrapText="1"/>
    </xf>
    <xf numFmtId="43" fontId="14" fillId="3" borderId="3" xfId="0" applyNumberFormat="1" applyFont="1" applyFill="1" applyBorder="1" applyAlignment="1">
      <alignment horizontal="center" vertical="center" wrapText="1"/>
    </xf>
    <xf numFmtId="166" fontId="28" fillId="2" borderId="3" xfId="0" applyNumberFormat="1" applyFont="1" applyFill="1" applyBorder="1" applyAlignment="1">
      <alignment horizontal="center" vertical="center" wrapText="1"/>
    </xf>
    <xf numFmtId="166" fontId="28" fillId="0" borderId="3" xfId="0" applyNumberFormat="1" applyFont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 wrapText="1"/>
    </xf>
    <xf numFmtId="4" fontId="42" fillId="4" borderId="3" xfId="0" applyNumberFormat="1" applyFont="1" applyFill="1" applyBorder="1" applyAlignment="1">
      <alignment horizontal="center" vertical="center" wrapText="1"/>
    </xf>
    <xf numFmtId="43" fontId="43" fillId="4" borderId="3" xfId="0" applyNumberFormat="1" applyFont="1" applyFill="1" applyBorder="1" applyAlignment="1">
      <alignment horizontal="center" vertical="center" wrapText="1"/>
    </xf>
    <xf numFmtId="9" fontId="35" fillId="0" borderId="3" xfId="0" applyNumberFormat="1" applyFont="1" applyBorder="1" applyAlignment="1">
      <alignment horizontal="center" vertical="center"/>
    </xf>
    <xf numFmtId="166" fontId="27" fillId="0" borderId="3" xfId="0" applyNumberFormat="1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4" fontId="35" fillId="2" borderId="3" xfId="0" applyNumberFormat="1" applyFont="1" applyFill="1" applyBorder="1" applyAlignment="1">
      <alignment horizontal="center" vertical="center"/>
    </xf>
    <xf numFmtId="2" fontId="35" fillId="0" borderId="3" xfId="0" applyNumberFormat="1" applyFont="1" applyBorder="1" applyAlignment="1">
      <alignment horizontal="center" vertical="center"/>
    </xf>
    <xf numFmtId="166" fontId="35" fillId="0" borderId="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6" fontId="45" fillId="0" borderId="0" xfId="0" applyNumberFormat="1" applyFont="1" applyAlignment="1">
      <alignment horizontal="left" vertical="center"/>
    </xf>
    <xf numFmtId="166" fontId="46" fillId="0" borderId="0" xfId="0" applyNumberFormat="1" applyFont="1" applyAlignment="1">
      <alignment horizontal="center" vertical="center"/>
    </xf>
    <xf numFmtId="171" fontId="3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9" fillId="0" borderId="0" xfId="4" applyFont="1" applyAlignment="1">
      <alignment horizontal="left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center"/>
    </xf>
    <xf numFmtId="0" fontId="47" fillId="0" borderId="0" xfId="0" applyFont="1" applyAlignment="1">
      <alignment horizontal="left" vertical="center"/>
    </xf>
    <xf numFmtId="166" fontId="13" fillId="0" borderId="3" xfId="0" applyNumberFormat="1" applyFont="1" applyBorder="1" applyAlignment="1">
      <alignment horizontal="center" vertical="center" wrapText="1"/>
    </xf>
    <xf numFmtId="2" fontId="28" fillId="2" borderId="3" xfId="0" applyNumberFormat="1" applyFont="1" applyFill="1" applyBorder="1" applyAlignment="1">
      <alignment horizontal="center" vertical="center" wrapText="1"/>
    </xf>
    <xf numFmtId="174" fontId="48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66" fontId="50" fillId="0" borderId="0" xfId="0" applyNumberFormat="1" applyFont="1" applyAlignment="1">
      <alignment horizontal="left" vertical="center"/>
    </xf>
    <xf numFmtId="166" fontId="0" fillId="0" borderId="0" xfId="0" applyNumberFormat="1"/>
    <xf numFmtId="0" fontId="51" fillId="0" borderId="0" xfId="0" applyFont="1" applyAlignment="1">
      <alignment horizontal="left" vertical="center"/>
    </xf>
    <xf numFmtId="0" fontId="0" fillId="2" borderId="0" xfId="0" applyFill="1"/>
    <xf numFmtId="0" fontId="35" fillId="0" borderId="12" xfId="0" applyFont="1" applyBorder="1" applyAlignment="1">
      <alignment horizontal="center" vertical="center" wrapText="1"/>
    </xf>
    <xf numFmtId="168" fontId="35" fillId="0" borderId="13" xfId="8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vertical="center" wrapText="1"/>
    </xf>
    <xf numFmtId="166" fontId="52" fillId="4" borderId="3" xfId="0" applyNumberFormat="1" applyFont="1" applyFill="1" applyBorder="1" applyAlignment="1">
      <alignment horizontal="center" vertical="center"/>
    </xf>
    <xf numFmtId="2" fontId="48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15" fillId="0" borderId="0" xfId="0" applyFont="1"/>
    <xf numFmtId="0" fontId="13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0" fillId="0" borderId="0" xfId="0" applyNumberFormat="1"/>
    <xf numFmtId="168" fontId="14" fillId="0" borderId="13" xfId="8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3" fontId="13" fillId="0" borderId="3" xfId="0" applyNumberFormat="1" applyFont="1" applyBorder="1" applyAlignment="1">
      <alignment vertical="center" wrapText="1"/>
    </xf>
    <xf numFmtId="43" fontId="14" fillId="0" borderId="3" xfId="0" applyNumberFormat="1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top" wrapText="1"/>
    </xf>
    <xf numFmtId="166" fontId="28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4" fontId="14" fillId="4" borderId="3" xfId="0" applyNumberFormat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left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0" xfId="5" applyFont="1" applyFill="1" applyAlignment="1">
      <alignment horizontal="center" vertical="center" wrapText="1"/>
    </xf>
    <xf numFmtId="167" fontId="6" fillId="4" borderId="14" xfId="3" applyFont="1" applyFill="1" applyBorder="1" applyAlignment="1" applyProtection="1"/>
    <xf numFmtId="0" fontId="6" fillId="4" borderId="4" xfId="1" applyFont="1" applyFill="1" applyBorder="1" applyAlignment="1">
      <alignment horizontal="left" wrapText="1"/>
    </xf>
    <xf numFmtId="167" fontId="6" fillId="4" borderId="2" xfId="3" applyFont="1" applyFill="1" applyBorder="1" applyAlignment="1" applyProtection="1"/>
    <xf numFmtId="0" fontId="11" fillId="4" borderId="3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61" fillId="0" borderId="0" xfId="0" applyFont="1"/>
    <xf numFmtId="0" fontId="5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66" fontId="14" fillId="0" borderId="3" xfId="0" applyNumberFormat="1" applyFont="1" applyBorder="1" applyAlignment="1">
      <alignment vertical="center" wrapText="1"/>
    </xf>
    <xf numFmtId="166" fontId="13" fillId="0" borderId="3" xfId="0" applyNumberFormat="1" applyFont="1" applyBorder="1" applyAlignment="1">
      <alignment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166" fontId="56" fillId="0" borderId="3" xfId="0" applyNumberFormat="1" applyFont="1" applyBorder="1" applyAlignment="1">
      <alignment horizontal="center" vertical="top" wrapText="1"/>
    </xf>
    <xf numFmtId="166" fontId="57" fillId="0" borderId="3" xfId="0" applyNumberFormat="1" applyFont="1" applyBorder="1" applyAlignment="1">
      <alignment vertical="center" wrapText="1"/>
    </xf>
    <xf numFmtId="0" fontId="5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57" fillId="0" borderId="3" xfId="0" applyFont="1" applyBorder="1" applyAlignment="1">
      <alignment horizontal="center" vertical="center" wrapText="1"/>
    </xf>
    <xf numFmtId="2" fontId="59" fillId="0" borderId="3" xfId="0" applyNumberFormat="1" applyFont="1" applyBorder="1" applyAlignment="1">
      <alignment horizontal="center" vertical="center" wrapText="1"/>
    </xf>
    <xf numFmtId="166" fontId="59" fillId="0" borderId="3" xfId="0" applyNumberFormat="1" applyFont="1" applyBorder="1" applyAlignment="1">
      <alignment vertical="center" wrapText="1"/>
    </xf>
    <xf numFmtId="0" fontId="59" fillId="0" borderId="3" xfId="0" applyFont="1" applyBorder="1" applyAlignment="1">
      <alignment horizontal="left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left" vertical="center" wrapText="1"/>
    </xf>
    <xf numFmtId="4" fontId="62" fillId="0" borderId="3" xfId="0" applyNumberFormat="1" applyFont="1" applyBorder="1" applyAlignment="1">
      <alignment horizontal="center" vertical="center" wrapText="1"/>
    </xf>
    <xf numFmtId="166" fontId="62" fillId="0" borderId="3" xfId="0" applyNumberFormat="1" applyFont="1" applyBorder="1" applyAlignment="1">
      <alignment vertical="center" wrapText="1"/>
    </xf>
    <xf numFmtId="0" fontId="28" fillId="0" borderId="3" xfId="0" applyFont="1" applyBorder="1" applyAlignment="1">
      <alignment horizontal="left" vertical="top" wrapText="1"/>
    </xf>
    <xf numFmtId="2" fontId="28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172" fontId="28" fillId="0" borderId="3" xfId="0" applyNumberFormat="1" applyFont="1" applyBorder="1" applyAlignment="1">
      <alignment horizontal="center" vertical="top" wrapText="1"/>
    </xf>
    <xf numFmtId="172" fontId="28" fillId="0" borderId="3" xfId="0" applyNumberFormat="1" applyFont="1" applyBorder="1" applyAlignment="1">
      <alignment horizontal="right" vertical="center" wrapText="1"/>
    </xf>
    <xf numFmtId="0" fontId="62" fillId="0" borderId="3" xfId="0" applyFont="1" applyBorder="1" applyAlignment="1">
      <alignment horizontal="center" vertical="center"/>
    </xf>
    <xf numFmtId="0" fontId="63" fillId="0" borderId="3" xfId="0" applyFont="1" applyBorder="1" applyAlignment="1">
      <alignment horizontal="left" vertical="top" wrapText="1"/>
    </xf>
    <xf numFmtId="2" fontId="63" fillId="0" borderId="3" xfId="0" applyNumberFormat="1" applyFont="1" applyBorder="1" applyAlignment="1">
      <alignment horizontal="center" vertical="center" wrapText="1"/>
    </xf>
    <xf numFmtId="0" fontId="64" fillId="0" borderId="3" xfId="0" applyFont="1" applyBorder="1" applyAlignment="1">
      <alignment horizontal="left" vertical="top" wrapText="1"/>
    </xf>
    <xf numFmtId="0" fontId="65" fillId="0" borderId="3" xfId="0" applyFont="1" applyBorder="1" applyAlignment="1">
      <alignment horizontal="center" vertical="center" wrapText="1"/>
    </xf>
    <xf numFmtId="2" fontId="64" fillId="0" borderId="3" xfId="0" applyNumberFormat="1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164" fontId="27" fillId="0" borderId="3" xfId="0" applyNumberFormat="1" applyFont="1" applyBorder="1" applyAlignment="1">
      <alignment vertical="center" wrapText="1"/>
    </xf>
    <xf numFmtId="0" fontId="67" fillId="0" borderId="3" xfId="0" applyFont="1" applyBorder="1" applyAlignment="1">
      <alignment horizontal="center" vertical="center" wrapText="1"/>
    </xf>
    <xf numFmtId="16" fontId="27" fillId="0" borderId="3" xfId="0" applyNumberFormat="1" applyFont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70" fontId="43" fillId="4" borderId="3" xfId="0" applyNumberFormat="1" applyFont="1" applyFill="1" applyBorder="1" applyAlignment="1">
      <alignment horizontal="center" vertical="center" wrapText="1"/>
    </xf>
    <xf numFmtId="170" fontId="35" fillId="0" borderId="3" xfId="10" applyNumberFormat="1" applyFont="1" applyFill="1" applyBorder="1" applyAlignment="1">
      <alignment horizontal="center" vertical="center" wrapText="1"/>
    </xf>
    <xf numFmtId="170" fontId="36" fillId="0" borderId="3" xfId="10" applyNumberFormat="1" applyFont="1" applyFill="1" applyBorder="1" applyAlignment="1">
      <alignment horizontal="center" vertical="center" wrapText="1"/>
    </xf>
    <xf numFmtId="170" fontId="13" fillId="0" borderId="3" xfId="10" applyNumberFormat="1" applyFont="1" applyFill="1" applyBorder="1" applyAlignment="1">
      <alignment horizontal="center" vertical="center" wrapText="1"/>
    </xf>
    <xf numFmtId="170" fontId="53" fillId="4" borderId="13" xfId="0" applyNumberFormat="1" applyFont="1" applyFill="1" applyBorder="1" applyAlignment="1">
      <alignment horizontal="center" vertical="center"/>
    </xf>
    <xf numFmtId="166" fontId="32" fillId="0" borderId="3" xfId="0" applyNumberFormat="1" applyFont="1" applyBorder="1" applyAlignment="1">
      <alignment horizontal="center" vertical="center" wrapText="1"/>
    </xf>
    <xf numFmtId="166" fontId="46" fillId="0" borderId="3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66" fontId="32" fillId="0" borderId="5" xfId="0" applyNumberFormat="1" applyFont="1" applyBorder="1" applyAlignment="1">
      <alignment horizontal="center" vertical="center" wrapText="1"/>
    </xf>
    <xf numFmtId="166" fontId="32" fillId="0" borderId="6" xfId="0" applyNumberFormat="1" applyFont="1" applyBorder="1" applyAlignment="1">
      <alignment horizontal="center" vertical="center" wrapText="1"/>
    </xf>
    <xf numFmtId="166" fontId="32" fillId="0" borderId="7" xfId="0" applyNumberFormat="1" applyFont="1" applyBorder="1" applyAlignment="1">
      <alignment horizontal="center" vertical="center" wrapText="1"/>
    </xf>
    <xf numFmtId="166" fontId="32" fillId="0" borderId="8" xfId="0" applyNumberFormat="1" applyFont="1" applyBorder="1" applyAlignment="1">
      <alignment horizontal="center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2" fillId="0" borderId="9" xfId="0" applyNumberFormat="1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 wrapText="1"/>
    </xf>
    <xf numFmtId="166" fontId="32" fillId="0" borderId="4" xfId="0" applyNumberFormat="1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6" fontId="32" fillId="0" borderId="18" xfId="0" applyNumberFormat="1" applyFont="1" applyBorder="1" applyAlignment="1">
      <alignment horizontal="center" vertical="center" wrapText="1"/>
    </xf>
    <xf numFmtId="166" fontId="32" fillId="0" borderId="25" xfId="0" applyNumberFormat="1" applyFont="1" applyBorder="1" applyAlignment="1">
      <alignment horizontal="center" vertical="center" wrapText="1"/>
    </xf>
    <xf numFmtId="166" fontId="32" fillId="0" borderId="19" xfId="0" applyNumberFormat="1" applyFont="1" applyBorder="1" applyAlignment="1">
      <alignment horizontal="center" vertical="center" wrapText="1"/>
    </xf>
    <xf numFmtId="167" fontId="6" fillId="4" borderId="18" xfId="3" applyFont="1" applyFill="1" applyBorder="1" applyAlignment="1" applyProtection="1">
      <alignment horizontal="center" vertical="center" wrapText="1"/>
    </xf>
    <xf numFmtId="167" fontId="6" fillId="4" borderId="19" xfId="3" applyFont="1" applyFill="1" applyBorder="1" applyAlignment="1" applyProtection="1">
      <alignment horizontal="center" vertical="center" wrapText="1"/>
    </xf>
    <xf numFmtId="9" fontId="6" fillId="4" borderId="1" xfId="2" applyFont="1" applyFill="1" applyBorder="1" applyAlignment="1" applyProtection="1">
      <alignment horizontal="center" vertical="center" wrapText="1"/>
    </xf>
    <xf numFmtId="9" fontId="6" fillId="4" borderId="2" xfId="2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167" fontId="6" fillId="4" borderId="18" xfId="3" applyFont="1" applyFill="1" applyBorder="1" applyAlignment="1" applyProtection="1">
      <alignment horizontal="center" vertical="center"/>
    </xf>
    <xf numFmtId="167" fontId="6" fillId="4" borderId="19" xfId="3" applyFont="1" applyFill="1" applyBorder="1" applyAlignment="1" applyProtection="1">
      <alignment horizontal="center" vertical="center"/>
    </xf>
    <xf numFmtId="167" fontId="6" fillId="4" borderId="1" xfId="3" applyFont="1" applyFill="1" applyBorder="1" applyAlignment="1" applyProtection="1">
      <alignment vertical="center"/>
    </xf>
    <xf numFmtId="167" fontId="6" fillId="4" borderId="14" xfId="3" applyFont="1" applyFill="1" applyBorder="1" applyAlignment="1" applyProtection="1">
      <alignment vertical="center"/>
    </xf>
    <xf numFmtId="167" fontId="6" fillId="4" borderId="2" xfId="3" applyFont="1" applyFill="1" applyBorder="1" applyAlignment="1" applyProtection="1">
      <alignment vertical="center"/>
    </xf>
    <xf numFmtId="167" fontId="6" fillId="4" borderId="1" xfId="3" applyFont="1" applyFill="1" applyBorder="1" applyAlignment="1" applyProtection="1">
      <alignment horizontal="center" vertical="center"/>
    </xf>
    <xf numFmtId="167" fontId="6" fillId="4" borderId="2" xfId="3" applyFont="1" applyFill="1" applyBorder="1" applyAlignment="1" applyProtection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9" fontId="6" fillId="4" borderId="1" xfId="2" applyFont="1" applyFill="1" applyBorder="1" applyAlignment="1" applyProtection="1">
      <alignment horizontal="center" vertical="center"/>
    </xf>
    <xf numFmtId="9" fontId="6" fillId="4" borderId="14" xfId="2" applyFont="1" applyFill="1" applyBorder="1" applyAlignment="1" applyProtection="1">
      <alignment horizontal="center" vertical="center"/>
    </xf>
    <xf numFmtId="9" fontId="6" fillId="4" borderId="2" xfId="2" applyFont="1" applyFill="1" applyBorder="1" applyAlignment="1" applyProtection="1">
      <alignment horizontal="center" vertical="center"/>
    </xf>
    <xf numFmtId="167" fontId="6" fillId="4" borderId="21" xfId="3" applyFont="1" applyFill="1" applyBorder="1" applyAlignment="1" applyProtection="1">
      <alignment horizontal="center" vertical="center"/>
    </xf>
    <xf numFmtId="167" fontId="6" fillId="4" borderId="23" xfId="3" applyFont="1" applyFill="1" applyBorder="1" applyAlignment="1" applyProtection="1">
      <alignment horizontal="center" vertical="center"/>
    </xf>
    <xf numFmtId="167" fontId="6" fillId="4" borderId="22" xfId="3" applyFont="1" applyFill="1" applyBorder="1" applyAlignment="1" applyProtection="1">
      <alignment vertical="center"/>
    </xf>
    <xf numFmtId="167" fontId="6" fillId="4" borderId="21" xfId="3" applyFont="1" applyFill="1" applyBorder="1" applyAlignment="1" applyProtection="1">
      <alignment vertical="center"/>
    </xf>
    <xf numFmtId="167" fontId="6" fillId="4" borderId="24" xfId="3" applyFont="1" applyFill="1" applyBorder="1" applyAlignment="1" applyProtection="1">
      <alignment vertical="center"/>
    </xf>
    <xf numFmtId="167" fontId="6" fillId="4" borderId="23" xfId="3" applyFont="1" applyFill="1" applyBorder="1" applyAlignment="1" applyProtection="1">
      <alignment vertical="center"/>
    </xf>
    <xf numFmtId="167" fontId="6" fillId="4" borderId="22" xfId="3" applyFont="1" applyFill="1" applyBorder="1" applyAlignment="1" applyProtection="1">
      <alignment wrapText="1"/>
    </xf>
    <xf numFmtId="167" fontId="6" fillId="4" borderId="21" xfId="3" applyFont="1" applyFill="1" applyBorder="1" applyAlignment="1" applyProtection="1">
      <alignment wrapText="1"/>
    </xf>
    <xf numFmtId="167" fontId="6" fillId="4" borderId="24" xfId="3" applyFont="1" applyFill="1" applyBorder="1" applyAlignment="1" applyProtection="1">
      <alignment wrapText="1"/>
    </xf>
    <xf numFmtId="167" fontId="6" fillId="4" borderId="23" xfId="3" applyFont="1" applyFill="1" applyBorder="1" applyAlignment="1" applyProtection="1">
      <alignment wrapText="1"/>
    </xf>
    <xf numFmtId="170" fontId="10" fillId="4" borderId="1" xfId="8" applyNumberFormat="1" applyFont="1" applyFill="1" applyBorder="1" applyAlignment="1">
      <alignment horizontal="center" vertical="center" wrapText="1"/>
    </xf>
    <xf numFmtId="44" fontId="10" fillId="4" borderId="26" xfId="9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</cellXfs>
  <cellStyles count="13">
    <cellStyle name="Comma 17" xfId="3" xr:uid="{00000000-0005-0000-0000-000001000000}"/>
    <cellStyle name="Comma 2" xfId="10" xr:uid="{08FDE26D-61B7-40FF-B2A7-31AE061EB8B1}"/>
    <cellStyle name="Currency" xfId="9" builtinId="4"/>
    <cellStyle name="Currency 2" xfId="8" xr:uid="{00000000-0005-0000-0000-000002000000}"/>
    <cellStyle name="Normal" xfId="0" builtinId="0"/>
    <cellStyle name="Normal 10" xfId="5" xr:uid="{00000000-0005-0000-0000-000004000000}"/>
    <cellStyle name="Normal 2" xfId="7" xr:uid="{00000000-0005-0000-0000-000005000000}"/>
    <cellStyle name="Normal 4" xfId="6" xr:uid="{00000000-0005-0000-0000-000006000000}"/>
    <cellStyle name="Normal_gare wyalsadfenigagarini 2_SMSH2008-IIkv ." xfId="1" xr:uid="{00000000-0005-0000-0000-000008000000}"/>
    <cellStyle name="Percent 3" xfId="2" xr:uid="{00000000-0005-0000-0000-000009000000}"/>
    <cellStyle name="Обычный 2" xfId="12" xr:uid="{F7D15BF0-0B7F-4952-809F-F532F1FD258E}"/>
    <cellStyle name="Обычный 4" xfId="4" xr:uid="{00000000-0005-0000-0000-00000A000000}"/>
    <cellStyle name="Финансовый 2" xfId="11" xr:uid="{C59C1810-5DD0-40D4-A21C-F358C9473D22}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4" zoomScale="130" zoomScaleNormal="130" workbookViewId="0">
      <selection activeCell="C17" sqref="C17:E17"/>
    </sheetView>
  </sheetViews>
  <sheetFormatPr defaultRowHeight="14.4"/>
  <cols>
    <col min="1" max="1" width="9.88671875" customWidth="1"/>
    <col min="2" max="2" width="39.6640625" customWidth="1"/>
    <col min="3" max="3" width="5.33203125" bestFit="1" customWidth="1"/>
    <col min="4" max="4" width="17.33203125" customWidth="1"/>
    <col min="5" max="5" width="20.6640625" customWidth="1"/>
    <col min="7" max="7" width="13.33203125" bestFit="1" customWidth="1"/>
  </cols>
  <sheetData>
    <row r="1" spans="1:10" ht="27.6" customHeight="1">
      <c r="A1" s="190" t="s">
        <v>177</v>
      </c>
      <c r="B1" s="191"/>
      <c r="C1" s="191"/>
      <c r="D1" s="191"/>
      <c r="E1" s="192"/>
      <c r="F1" s="27"/>
      <c r="G1" s="27"/>
      <c r="H1" s="27"/>
      <c r="I1" s="27"/>
    </row>
    <row r="2" spans="1:10" s="28" customFormat="1" ht="15.6" customHeight="1">
      <c r="A2" s="193"/>
      <c r="B2" s="194"/>
      <c r="C2" s="194"/>
      <c r="D2" s="194"/>
      <c r="E2" s="195"/>
    </row>
    <row r="3" spans="1:10" s="28" customFormat="1" ht="13.8">
      <c r="A3" s="193"/>
      <c r="B3" s="194"/>
      <c r="C3" s="194"/>
      <c r="D3" s="194"/>
      <c r="E3" s="195"/>
    </row>
    <row r="4" spans="1:10" s="28" customFormat="1" ht="14.4" customHeight="1">
      <c r="A4" s="196"/>
      <c r="B4" s="197"/>
      <c r="C4" s="197"/>
      <c r="D4" s="197"/>
      <c r="E4" s="198"/>
    </row>
    <row r="5" spans="1:10" s="28" customFormat="1" ht="14.4" customHeight="1">
      <c r="A5" s="184"/>
      <c r="B5" s="185" t="s">
        <v>178</v>
      </c>
      <c r="C5" s="205"/>
      <c r="D5" s="206"/>
      <c r="E5" s="207"/>
    </row>
    <row r="6" spans="1:10" s="28" customFormat="1" ht="14.4" customHeight="1">
      <c r="A6" s="184"/>
      <c r="B6" s="185" t="s">
        <v>179</v>
      </c>
      <c r="C6" s="205"/>
      <c r="D6" s="206"/>
      <c r="E6" s="207"/>
    </row>
    <row r="7" spans="1:10">
      <c r="A7" s="103" t="s">
        <v>0</v>
      </c>
      <c r="B7" s="202" t="s">
        <v>55</v>
      </c>
      <c r="C7" s="199"/>
      <c r="D7" s="106" t="s">
        <v>44</v>
      </c>
      <c r="E7" s="183">
        <v>2.62</v>
      </c>
    </row>
    <row r="8" spans="1:10" ht="20.7" customHeight="1">
      <c r="A8" s="104"/>
      <c r="B8" s="203"/>
      <c r="C8" s="200"/>
      <c r="D8" s="188" t="s">
        <v>45</v>
      </c>
      <c r="E8" s="189" t="s">
        <v>46</v>
      </c>
    </row>
    <row r="9" spans="1:10" ht="11.85" customHeight="1">
      <c r="A9" s="105"/>
      <c r="B9" s="204"/>
      <c r="C9" s="201"/>
      <c r="D9" s="188"/>
      <c r="E9" s="189"/>
    </row>
    <row r="10" spans="1:10" ht="21.3" customHeight="1">
      <c r="A10" s="100">
        <v>1</v>
      </c>
      <c r="B10" s="30" t="s">
        <v>1</v>
      </c>
      <c r="C10" s="31"/>
      <c r="D10" s="180">
        <f>მოსამზადებელი!K22</f>
        <v>0</v>
      </c>
      <c r="E10" s="101">
        <f>D10/$E$7</f>
        <v>0</v>
      </c>
    </row>
    <row r="11" spans="1:10" ht="21.3" customHeight="1">
      <c r="A11" s="100">
        <f>A10+1</f>
        <v>2</v>
      </c>
      <c r="B11" s="30" t="s">
        <v>61</v>
      </c>
      <c r="C11" s="31"/>
      <c r="D11" s="180">
        <f>'დემონტაჟი გრუნტი-ინერტულ.'!K40</f>
        <v>0</v>
      </c>
      <c r="E11" s="101">
        <f t="shared" ref="E11:E13" si="0">D11/$E$7</f>
        <v>0</v>
      </c>
    </row>
    <row r="12" spans="1:10" ht="21.3" customHeight="1">
      <c r="A12" s="100">
        <f>A11+1</f>
        <v>3</v>
      </c>
      <c r="B12" s="30" t="s">
        <v>47</v>
      </c>
      <c r="C12" s="31"/>
      <c r="D12" s="180">
        <f>კონსტრუქციული!K222</f>
        <v>0</v>
      </c>
      <c r="E12" s="101">
        <f t="shared" si="0"/>
        <v>0</v>
      </c>
      <c r="F12" s="33"/>
      <c r="G12" s="34"/>
    </row>
    <row r="13" spans="1:10" ht="21.3" customHeight="1">
      <c r="A13" s="100">
        <f>A12+1</f>
        <v>4</v>
      </c>
      <c r="B13" s="30" t="s">
        <v>176</v>
      </c>
      <c r="C13" s="31"/>
      <c r="D13" s="180">
        <f>არქიტექტურა!K86</f>
        <v>0</v>
      </c>
      <c r="E13" s="101">
        <f t="shared" si="0"/>
        <v>0</v>
      </c>
      <c r="F13" s="33"/>
      <c r="G13" s="34"/>
    </row>
    <row r="14" spans="1:10" ht="21.3" customHeight="1">
      <c r="A14" s="102"/>
      <c r="B14" s="35" t="s">
        <v>18</v>
      </c>
      <c r="C14" s="36"/>
      <c r="D14" s="181">
        <f>SUM(D10:D13)</f>
        <v>0</v>
      </c>
      <c r="E14" s="114">
        <f>SUM(E10:E13)</f>
        <v>0</v>
      </c>
      <c r="F14" s="33"/>
      <c r="G14" s="34"/>
    </row>
    <row r="15" spans="1:10" ht="21.3" customHeight="1">
      <c r="A15" s="102"/>
      <c r="B15" s="37" t="s">
        <v>21</v>
      </c>
      <c r="C15" s="38">
        <v>0.18</v>
      </c>
      <c r="D15" s="182">
        <f>D14*C15</f>
        <v>0</v>
      </c>
      <c r="E15" s="101">
        <f>D15/$E$7</f>
        <v>0</v>
      </c>
      <c r="F15" s="33"/>
    </row>
    <row r="16" spans="1:10" ht="21.3" customHeight="1">
      <c r="A16" s="103"/>
      <c r="B16" s="186" t="s">
        <v>48</v>
      </c>
      <c r="C16" s="186"/>
      <c r="D16" s="237">
        <f>D14+D15</f>
        <v>0</v>
      </c>
      <c r="E16" s="238">
        <f>E14+E15</f>
        <v>0</v>
      </c>
      <c r="F16" s="33"/>
      <c r="G16" s="39"/>
      <c r="H16" s="40"/>
      <c r="I16" s="40"/>
      <c r="J16" s="40"/>
    </row>
    <row r="17" spans="1:11">
      <c r="A17" s="239"/>
      <c r="B17" s="37" t="s">
        <v>180</v>
      </c>
      <c r="C17" s="240"/>
      <c r="D17" s="240"/>
      <c r="E17" s="240"/>
      <c r="G17" s="113"/>
      <c r="H17" s="40"/>
    </row>
    <row r="18" spans="1:11">
      <c r="A18" s="239"/>
      <c r="B18" s="37" t="s">
        <v>181</v>
      </c>
      <c r="C18" s="240"/>
      <c r="D18" s="240"/>
      <c r="E18" s="240"/>
      <c r="G18" s="113"/>
      <c r="H18" s="40"/>
    </row>
    <row r="19" spans="1:1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</row>
    <row r="20" spans="1:11">
      <c r="B20" s="42"/>
      <c r="C20" s="43"/>
      <c r="D20" s="41"/>
      <c r="E20" s="10"/>
      <c r="F20" s="44"/>
      <c r="H20" s="32"/>
    </row>
    <row r="21" spans="1:11">
      <c r="B21" s="42"/>
      <c r="C21" s="43"/>
      <c r="D21" s="41"/>
      <c r="E21" s="10"/>
    </row>
    <row r="22" spans="1:11">
      <c r="B22" s="42"/>
      <c r="C22" s="43"/>
      <c r="D22" s="41"/>
      <c r="E22" s="41"/>
    </row>
    <row r="23" spans="1:11">
      <c r="C23" s="43"/>
      <c r="D23" s="41"/>
      <c r="E23" s="10"/>
    </row>
    <row r="24" spans="1:11">
      <c r="D24" s="41"/>
    </row>
    <row r="25" spans="1:11">
      <c r="C25" s="45"/>
      <c r="D25" s="46"/>
    </row>
    <row r="27" spans="1:11">
      <c r="D27" s="46"/>
      <c r="E27" s="34"/>
    </row>
  </sheetData>
  <mergeCells count="10">
    <mergeCell ref="A19:K19"/>
    <mergeCell ref="D8:D9"/>
    <mergeCell ref="E8:E9"/>
    <mergeCell ref="A1:E4"/>
    <mergeCell ref="C7:C9"/>
    <mergeCell ref="B7:B9"/>
    <mergeCell ref="C5:E5"/>
    <mergeCell ref="C6:E6"/>
    <mergeCell ref="C17:E17"/>
    <mergeCell ref="C18:E18"/>
  </mergeCells>
  <pageMargins left="0.11811023622047245" right="0.11811023622047245" top="0.11811023622047245" bottom="0.11811023622047245" header="0.11811023622047245" footer="0.11811023622047245"/>
  <pageSetup paperSize="9" scale="1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22"/>
  <sheetViews>
    <sheetView workbookViewId="0">
      <selection activeCell="B13" sqref="B13"/>
    </sheetView>
  </sheetViews>
  <sheetFormatPr defaultRowHeight="14.4"/>
  <cols>
    <col min="1" max="1" width="6.21875" customWidth="1"/>
    <col min="2" max="2" width="34.33203125" customWidth="1"/>
    <col min="3" max="3" width="6.21875" bestFit="1" customWidth="1"/>
    <col min="4" max="4" width="8.6640625" bestFit="1" customWidth="1"/>
    <col min="5" max="11" width="12.109375" customWidth="1"/>
  </cols>
  <sheetData>
    <row r="1" spans="1:89" s="1" customFormat="1">
      <c r="A1" s="187" t="str">
        <f>კრებსითი!A1</f>
        <v>ნატახტარი ახალი სასაწყობე შენობა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47"/>
    </row>
    <row r="2" spans="1:89" s="1" customFormat="1">
      <c r="A2" s="187" t="s">
        <v>103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47"/>
    </row>
    <row r="3" spans="1:89">
      <c r="A3" s="48"/>
      <c r="B3" s="49"/>
      <c r="C3" s="48"/>
      <c r="D3" s="48"/>
      <c r="E3" s="48"/>
      <c r="F3" s="48"/>
      <c r="G3" s="50"/>
      <c r="H3" s="50"/>
      <c r="I3" s="51"/>
      <c r="J3" s="52"/>
      <c r="K3" s="52"/>
    </row>
    <row r="4" spans="1:89">
      <c r="A4" s="51"/>
      <c r="B4" s="54"/>
      <c r="C4" s="55"/>
      <c r="D4" s="55"/>
      <c r="E4" s="55"/>
      <c r="F4" s="55"/>
      <c r="G4" s="55"/>
      <c r="H4" s="55"/>
      <c r="I4" s="56"/>
      <c r="J4" s="52"/>
      <c r="K4" s="52"/>
    </row>
    <row r="5" spans="1:89" s="2" customFormat="1" ht="50.7" customHeight="1">
      <c r="A5" s="214" t="s">
        <v>0</v>
      </c>
      <c r="B5" s="212" t="s">
        <v>26</v>
      </c>
      <c r="C5" s="210" t="s">
        <v>49</v>
      </c>
      <c r="D5" s="25" t="s">
        <v>50</v>
      </c>
      <c r="E5" s="216" t="s">
        <v>25</v>
      </c>
      <c r="F5" s="217"/>
      <c r="G5" s="216" t="s">
        <v>24</v>
      </c>
      <c r="H5" s="217"/>
      <c r="I5" s="208" t="s">
        <v>30</v>
      </c>
      <c r="J5" s="209"/>
      <c r="K5" s="60" t="s">
        <v>18</v>
      </c>
      <c r="L5" s="6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</row>
    <row r="6" spans="1:89" s="2" customFormat="1" ht="33.6" customHeight="1">
      <c r="A6" s="215"/>
      <c r="B6" s="213"/>
      <c r="C6" s="211"/>
      <c r="D6" s="26"/>
      <c r="E6" s="61" t="s">
        <v>51</v>
      </c>
      <c r="F6" s="61" t="s">
        <v>52</v>
      </c>
      <c r="G6" s="61" t="s">
        <v>51</v>
      </c>
      <c r="H6" s="61" t="s">
        <v>52</v>
      </c>
      <c r="I6" s="61" t="s">
        <v>51</v>
      </c>
      <c r="J6" s="61" t="s">
        <v>52</v>
      </c>
      <c r="K6" s="60"/>
      <c r="L6" s="62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</row>
    <row r="7" spans="1:89" s="2" customFormat="1">
      <c r="A7" s="11">
        <v>1</v>
      </c>
      <c r="B7" s="12">
        <v>2</v>
      </c>
      <c r="C7" s="13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62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</row>
    <row r="8" spans="1:89">
      <c r="A8" s="17"/>
      <c r="B8" s="17" t="s">
        <v>1</v>
      </c>
      <c r="C8" s="18"/>
      <c r="D8" s="19"/>
      <c r="E8" s="65"/>
      <c r="F8" s="65"/>
      <c r="G8" s="65"/>
      <c r="H8" s="66"/>
      <c r="I8" s="65"/>
      <c r="J8" s="65"/>
      <c r="K8" s="66"/>
    </row>
    <row r="9" spans="1:89">
      <c r="A9" s="120">
        <v>1</v>
      </c>
      <c r="B9" s="120" t="s">
        <v>2</v>
      </c>
      <c r="C9" s="127" t="s">
        <v>3</v>
      </c>
      <c r="D9" s="128">
        <f>121*3.2</f>
        <v>387.20000000000005</v>
      </c>
      <c r="E9" s="67"/>
      <c r="F9" s="67"/>
      <c r="G9" s="67"/>
      <c r="H9" s="67"/>
      <c r="I9" s="67"/>
      <c r="J9" s="67"/>
      <c r="K9" s="67"/>
    </row>
    <row r="10" spans="1:89" ht="27.6">
      <c r="A10" s="22">
        <f>A9+1</f>
        <v>2</v>
      </c>
      <c r="B10" s="22" t="s">
        <v>4</v>
      </c>
      <c r="C10" s="23" t="s">
        <v>5</v>
      </c>
      <c r="D10" s="24">
        <v>1</v>
      </c>
      <c r="E10" s="68"/>
      <c r="F10" s="67"/>
      <c r="G10" s="68"/>
      <c r="H10" s="67"/>
      <c r="I10" s="67"/>
      <c r="J10" s="67"/>
      <c r="K10" s="67"/>
    </row>
    <row r="11" spans="1:89" ht="27.6">
      <c r="A11" s="22">
        <v>3</v>
      </c>
      <c r="B11" s="22" t="s">
        <v>6</v>
      </c>
      <c r="C11" s="23" t="s">
        <v>7</v>
      </c>
      <c r="D11" s="129">
        <v>7</v>
      </c>
      <c r="E11" s="68"/>
      <c r="F11" s="67"/>
      <c r="G11" s="68"/>
      <c r="H11" s="67"/>
      <c r="I11" s="67"/>
      <c r="J11" s="67"/>
      <c r="K11" s="67"/>
    </row>
    <row r="12" spans="1:89" ht="27.6">
      <c r="A12" s="22">
        <f>A11+1</f>
        <v>4</v>
      </c>
      <c r="B12" s="22" t="s">
        <v>8</v>
      </c>
      <c r="C12" s="23" t="s">
        <v>7</v>
      </c>
      <c r="D12" s="129">
        <v>7</v>
      </c>
      <c r="E12" s="68"/>
      <c r="F12" s="67"/>
      <c r="G12" s="68"/>
      <c r="H12" s="67"/>
      <c r="I12" s="67"/>
      <c r="J12" s="67"/>
      <c r="K12" s="67"/>
    </row>
    <row r="13" spans="1:89">
      <c r="A13" s="22">
        <f>A12+1</f>
        <v>5</v>
      </c>
      <c r="B13" s="22" t="s">
        <v>42</v>
      </c>
      <c r="C13" s="23" t="s">
        <v>7</v>
      </c>
      <c r="D13" s="129">
        <v>7</v>
      </c>
      <c r="E13" s="67"/>
      <c r="F13" s="67"/>
      <c r="G13" s="67"/>
      <c r="H13" s="67"/>
      <c r="I13" s="67"/>
      <c r="J13" s="67"/>
      <c r="K13" s="67"/>
      <c r="L13" s="53"/>
    </row>
    <row r="14" spans="1:89">
      <c r="A14" s="69"/>
      <c r="B14" s="70" t="s">
        <v>18</v>
      </c>
      <c r="C14" s="69"/>
      <c r="D14" s="71"/>
      <c r="E14" s="72"/>
      <c r="F14" s="179">
        <f>SUM(F9:F13)</f>
        <v>0</v>
      </c>
      <c r="G14" s="179"/>
      <c r="H14" s="179">
        <f>SUM(H9:H13)</f>
        <v>0</v>
      </c>
      <c r="I14" s="179"/>
      <c r="J14" s="179">
        <f>SUM(J9:J13)</f>
        <v>0</v>
      </c>
      <c r="K14" s="179">
        <f>SUM(K9:K13)</f>
        <v>0</v>
      </c>
      <c r="L14" s="53"/>
    </row>
    <row r="15" spans="1:89" s="80" customFormat="1" ht="13.8">
      <c r="A15" s="81"/>
      <c r="B15" s="75" t="s">
        <v>175</v>
      </c>
      <c r="C15" s="73" t="s">
        <v>101</v>
      </c>
      <c r="D15" s="75"/>
      <c r="E15" s="76"/>
      <c r="F15" s="77"/>
      <c r="G15" s="77"/>
      <c r="H15" s="77"/>
      <c r="I15" s="77"/>
      <c r="J15" s="77"/>
      <c r="K15" s="78"/>
      <c r="L15" s="79"/>
    </row>
    <row r="16" spans="1:89" s="80" customFormat="1" ht="13.8">
      <c r="A16" s="81"/>
      <c r="B16" s="75" t="s">
        <v>18</v>
      </c>
      <c r="C16" s="73"/>
      <c r="D16" s="75"/>
      <c r="E16" s="76"/>
      <c r="F16" s="77"/>
      <c r="G16" s="77"/>
      <c r="H16" s="77"/>
      <c r="I16" s="77"/>
      <c r="J16" s="77"/>
      <c r="K16" s="78"/>
      <c r="L16" s="79"/>
    </row>
    <row r="17" spans="1:12" s="80" customFormat="1" ht="13.8">
      <c r="A17" s="81"/>
      <c r="B17" s="75" t="s">
        <v>131</v>
      </c>
      <c r="C17" s="73" t="s">
        <v>101</v>
      </c>
      <c r="D17" s="75"/>
      <c r="E17" s="76"/>
      <c r="F17" s="77"/>
      <c r="G17" s="77"/>
      <c r="H17" s="77"/>
      <c r="I17" s="77"/>
      <c r="J17" s="77"/>
      <c r="K17" s="78"/>
      <c r="L17" s="79"/>
    </row>
    <row r="18" spans="1:12" s="80" customFormat="1" ht="13.8">
      <c r="A18" s="81"/>
      <c r="B18" s="75" t="s">
        <v>18</v>
      </c>
      <c r="C18" s="73"/>
      <c r="D18" s="75"/>
      <c r="E18" s="76"/>
      <c r="F18" s="77"/>
      <c r="G18" s="77"/>
      <c r="H18" s="77"/>
      <c r="I18" s="77"/>
      <c r="J18" s="77"/>
      <c r="K18" s="78"/>
      <c r="L18" s="79"/>
    </row>
    <row r="19" spans="1:12">
      <c r="A19" s="81"/>
      <c r="B19" s="75" t="s">
        <v>19</v>
      </c>
      <c r="C19" s="73" t="s">
        <v>101</v>
      </c>
      <c r="D19" s="75"/>
      <c r="E19" s="76"/>
      <c r="F19" s="77"/>
      <c r="G19" s="77"/>
      <c r="H19" s="77"/>
      <c r="I19" s="77"/>
      <c r="J19" s="77"/>
      <c r="K19" s="78"/>
    </row>
    <row r="20" spans="1:12">
      <c r="A20" s="81"/>
      <c r="B20" s="75" t="s">
        <v>18</v>
      </c>
      <c r="C20" s="73"/>
      <c r="D20" s="75"/>
      <c r="E20" s="76"/>
      <c r="F20" s="77"/>
      <c r="G20" s="77"/>
      <c r="H20" s="77"/>
      <c r="I20" s="77"/>
      <c r="J20" s="77"/>
      <c r="K20" s="78"/>
    </row>
    <row r="21" spans="1:12">
      <c r="A21" s="81"/>
      <c r="B21" s="75" t="s">
        <v>20</v>
      </c>
      <c r="C21" s="73" t="s">
        <v>101</v>
      </c>
      <c r="D21" s="75"/>
      <c r="E21" s="76"/>
      <c r="F21" s="77"/>
      <c r="G21" s="77"/>
      <c r="H21" s="77"/>
      <c r="I21" s="77"/>
      <c r="J21" s="77"/>
      <c r="K21" s="78"/>
    </row>
    <row r="22" spans="1:12">
      <c r="A22" s="81"/>
      <c r="B22" s="75" t="s">
        <v>18</v>
      </c>
      <c r="C22" s="73"/>
      <c r="D22" s="75"/>
      <c r="E22" s="76"/>
      <c r="F22" s="77"/>
      <c r="G22" s="77"/>
      <c r="H22" s="77"/>
      <c r="I22" s="77"/>
      <c r="J22" s="77"/>
      <c r="K22" s="78"/>
    </row>
  </sheetData>
  <mergeCells count="8">
    <mergeCell ref="A2:K2"/>
    <mergeCell ref="A1:K1"/>
    <mergeCell ref="I5:J5"/>
    <mergeCell ref="C5:C6"/>
    <mergeCell ref="B5:B6"/>
    <mergeCell ref="A5:A6"/>
    <mergeCell ref="G5:H5"/>
    <mergeCell ref="E5:F5"/>
  </mergeCells>
  <pageMargins left="0.11811023622047245" right="0.11811023622047245" top="0.11811023622047245" bottom="0.11811023622047245" header="0.11811023622047245" footer="0.11811023622047245"/>
  <pageSetup scale="8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CB77-E449-4A24-A082-796B99F36B82}">
  <dimension ref="A1:T755"/>
  <sheetViews>
    <sheetView workbookViewId="0">
      <selection activeCell="E3" sqref="E1:E1048576"/>
    </sheetView>
  </sheetViews>
  <sheetFormatPr defaultRowHeight="14.4"/>
  <cols>
    <col min="1" max="1" width="6.77734375" customWidth="1"/>
    <col min="2" max="2" width="49.21875" customWidth="1"/>
    <col min="6" max="6" width="11.33203125" bestFit="1" customWidth="1"/>
    <col min="8" max="8" width="13" customWidth="1"/>
    <col min="10" max="10" width="12.77734375" customWidth="1"/>
    <col min="11" max="11" width="13" customWidth="1"/>
  </cols>
  <sheetData>
    <row r="1" spans="1:13" s="1" customFormat="1">
      <c r="A1" s="187" t="str">
        <f>კრებსითი!A1</f>
        <v>ნატახტარი ახალი სასაწყობე შენობა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82"/>
    </row>
    <row r="2" spans="1:13" s="1" customFormat="1">
      <c r="A2" s="187" t="s">
        <v>103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82"/>
    </row>
    <row r="3" spans="1:13" s="1" customFormat="1">
      <c r="A3" s="48"/>
      <c r="B3" s="49"/>
      <c r="C3" s="48"/>
      <c r="D3" s="48"/>
      <c r="E3" s="48"/>
      <c r="F3" s="48"/>
      <c r="G3" s="50"/>
      <c r="H3" s="50"/>
      <c r="I3" s="83"/>
      <c r="J3" s="84"/>
      <c r="K3" s="84"/>
      <c r="L3" s="82"/>
    </row>
    <row r="4" spans="1:13" s="1" customFormat="1">
      <c r="A4" s="51"/>
      <c r="B4" s="54"/>
      <c r="C4" s="55"/>
      <c r="D4" s="55"/>
      <c r="E4" s="85"/>
      <c r="F4" s="85"/>
      <c r="G4" s="85"/>
      <c r="H4" s="85"/>
      <c r="I4" s="29"/>
      <c r="J4" s="84"/>
      <c r="K4" s="84"/>
      <c r="L4" s="82"/>
    </row>
    <row r="5" spans="1:13" s="88" customFormat="1" ht="51.3" customHeight="1">
      <c r="A5" s="57" t="s">
        <v>0</v>
      </c>
      <c r="B5" s="58" t="s">
        <v>26</v>
      </c>
      <c r="C5" s="59" t="s">
        <v>49</v>
      </c>
      <c r="D5" s="25" t="s">
        <v>50</v>
      </c>
      <c r="E5" s="60" t="s">
        <v>25</v>
      </c>
      <c r="F5" s="60"/>
      <c r="G5" s="60" t="s">
        <v>24</v>
      </c>
      <c r="H5" s="60"/>
      <c r="I5" s="61" t="s">
        <v>30</v>
      </c>
      <c r="J5" s="61"/>
      <c r="K5" s="60" t="s">
        <v>18</v>
      </c>
      <c r="L5" s="86"/>
      <c r="M5" s="87"/>
    </row>
    <row r="6" spans="1:13" s="88" customFormat="1" ht="26.1" customHeight="1">
      <c r="A6" s="57"/>
      <c r="B6" s="63"/>
      <c r="C6" s="64"/>
      <c r="D6" s="26"/>
      <c r="E6" s="61" t="s">
        <v>51</v>
      </c>
      <c r="F6" s="61" t="s">
        <v>52</v>
      </c>
      <c r="G6" s="61" t="s">
        <v>51</v>
      </c>
      <c r="H6" s="61" t="s">
        <v>52</v>
      </c>
      <c r="I6" s="61" t="s">
        <v>51</v>
      </c>
      <c r="J6" s="61" t="s">
        <v>52</v>
      </c>
      <c r="K6" s="60"/>
      <c r="L6" s="86"/>
      <c r="M6" s="87"/>
    </row>
    <row r="7" spans="1:13" s="2" customFormat="1">
      <c r="A7" s="11">
        <v>1</v>
      </c>
      <c r="B7" s="12">
        <v>2</v>
      </c>
      <c r="C7" s="13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89"/>
      <c r="M7" s="10"/>
    </row>
    <row r="8" spans="1:13" s="2" customFormat="1" ht="13.8">
      <c r="A8" s="22"/>
      <c r="B8" s="22" t="s">
        <v>81</v>
      </c>
      <c r="C8" s="23"/>
      <c r="D8" s="115"/>
      <c r="E8" s="116"/>
      <c r="F8" s="116"/>
      <c r="G8" s="116"/>
      <c r="H8" s="117"/>
      <c r="I8" s="116"/>
      <c r="J8" s="116"/>
      <c r="K8" s="117"/>
      <c r="L8" s="89"/>
      <c r="M8" s="10"/>
    </row>
    <row r="9" spans="1:13" s="2" customFormat="1" ht="13.8">
      <c r="A9" s="118">
        <v>1</v>
      </c>
      <c r="B9" s="119" t="s">
        <v>82</v>
      </c>
      <c r="C9" s="120" t="s">
        <v>9</v>
      </c>
      <c r="D9" s="128">
        <v>515.36</v>
      </c>
      <c r="E9" s="74"/>
      <c r="F9" s="74"/>
      <c r="G9" s="74"/>
      <c r="H9" s="74"/>
      <c r="I9" s="74"/>
      <c r="J9" s="74"/>
      <c r="K9" s="74"/>
      <c r="L9" s="89"/>
      <c r="M9" s="10"/>
    </row>
    <row r="10" spans="1:13" s="2" customFormat="1" ht="13.8">
      <c r="A10" s="81"/>
      <c r="B10" s="121" t="s">
        <v>11</v>
      </c>
      <c r="C10" s="23" t="s">
        <v>9</v>
      </c>
      <c r="D10" s="160">
        <f>D9</f>
        <v>515.36</v>
      </c>
      <c r="E10" s="122"/>
      <c r="F10" s="122"/>
      <c r="G10" s="122"/>
      <c r="H10" s="122"/>
      <c r="I10" s="122"/>
      <c r="J10" s="122"/>
      <c r="K10" s="122"/>
      <c r="L10" s="89"/>
      <c r="M10" s="10"/>
    </row>
    <row r="11" spans="1:13" s="2" customFormat="1" ht="13.8">
      <c r="A11" s="118"/>
      <c r="B11" s="121" t="s">
        <v>83</v>
      </c>
      <c r="C11" s="23" t="s">
        <v>9</v>
      </c>
      <c r="D11" s="160">
        <f>D10</f>
        <v>515.36</v>
      </c>
      <c r="E11" s="122"/>
      <c r="F11" s="122"/>
      <c r="G11" s="122"/>
      <c r="H11" s="122"/>
      <c r="I11" s="122"/>
      <c r="J11" s="122"/>
      <c r="K11" s="122"/>
      <c r="L11" s="89"/>
      <c r="M11" s="10"/>
    </row>
    <row r="12" spans="1:13" s="2" customFormat="1" ht="27.6">
      <c r="A12" s="118">
        <f>A9+1</f>
        <v>2</v>
      </c>
      <c r="B12" s="119" t="s">
        <v>84</v>
      </c>
      <c r="C12" s="120" t="s">
        <v>85</v>
      </c>
      <c r="D12" s="128">
        <v>2</v>
      </c>
      <c r="E12" s="74"/>
      <c r="F12" s="74"/>
      <c r="G12" s="74"/>
      <c r="H12" s="74"/>
      <c r="I12" s="74"/>
      <c r="J12" s="74"/>
      <c r="K12" s="122"/>
      <c r="L12" s="89"/>
      <c r="M12" s="10"/>
    </row>
    <row r="13" spans="1:13" s="2" customFormat="1" ht="13.8">
      <c r="A13" s="81"/>
      <c r="B13" s="121" t="s">
        <v>11</v>
      </c>
      <c r="C13" s="23" t="str">
        <f>C12</f>
        <v>ც.</v>
      </c>
      <c r="D13" s="160">
        <f>D12</f>
        <v>2</v>
      </c>
      <c r="E13" s="122"/>
      <c r="F13" s="122"/>
      <c r="G13" s="122"/>
      <c r="H13" s="122"/>
      <c r="I13" s="122"/>
      <c r="J13" s="122"/>
      <c r="K13" s="122"/>
      <c r="L13" s="89"/>
      <c r="M13" s="10"/>
    </row>
    <row r="14" spans="1:13" s="2" customFormat="1" ht="13.8">
      <c r="A14" s="81"/>
      <c r="B14" s="121" t="s">
        <v>14</v>
      </c>
      <c r="C14" s="23" t="s">
        <v>85</v>
      </c>
      <c r="D14" s="160">
        <f>D12*145</f>
        <v>290</v>
      </c>
      <c r="E14" s="122"/>
      <c r="F14" s="122"/>
      <c r="G14" s="122"/>
      <c r="H14" s="122"/>
      <c r="I14" s="122"/>
      <c r="J14" s="122"/>
      <c r="K14" s="122"/>
      <c r="L14" s="89"/>
      <c r="M14" s="10"/>
    </row>
    <row r="15" spans="1:13" s="2" customFormat="1" ht="13.8">
      <c r="A15" s="22"/>
      <c r="B15" s="121" t="s">
        <v>86</v>
      </c>
      <c r="C15" s="23" t="str">
        <f>C12</f>
        <v>ც.</v>
      </c>
      <c r="D15" s="160">
        <f>D13</f>
        <v>2</v>
      </c>
      <c r="E15" s="122"/>
      <c r="F15" s="122"/>
      <c r="G15" s="122"/>
      <c r="H15" s="122"/>
      <c r="I15" s="122"/>
      <c r="J15" s="122"/>
      <c r="K15" s="122"/>
      <c r="L15" s="89"/>
      <c r="M15" s="10"/>
    </row>
    <row r="16" spans="1:13" s="2" customFormat="1" ht="13.8">
      <c r="A16" s="118">
        <f>A12+1</f>
        <v>3</v>
      </c>
      <c r="B16" s="119" t="s">
        <v>87</v>
      </c>
      <c r="C16" s="120" t="s">
        <v>88</v>
      </c>
      <c r="D16" s="128">
        <v>50</v>
      </c>
      <c r="E16" s="74"/>
      <c r="F16" s="74"/>
      <c r="G16" s="74"/>
      <c r="H16" s="74"/>
      <c r="I16" s="74"/>
      <c r="J16" s="74"/>
      <c r="K16" s="122"/>
      <c r="L16" s="89"/>
      <c r="M16" s="10"/>
    </row>
    <row r="17" spans="1:13" s="2" customFormat="1" ht="13.8">
      <c r="A17" s="118">
        <f>A16+1</f>
        <v>4</v>
      </c>
      <c r="B17" s="119" t="s">
        <v>89</v>
      </c>
      <c r="C17" s="120" t="s">
        <v>85</v>
      </c>
      <c r="D17" s="128">
        <v>3</v>
      </c>
      <c r="E17" s="74"/>
      <c r="F17" s="74"/>
      <c r="G17" s="74"/>
      <c r="H17" s="74"/>
      <c r="I17" s="74"/>
      <c r="J17" s="74"/>
      <c r="K17" s="122"/>
      <c r="L17" s="89"/>
      <c r="M17" s="10"/>
    </row>
    <row r="18" spans="1:13" s="2" customFormat="1" ht="27.6">
      <c r="A18" s="118">
        <f>A17+1</f>
        <v>5</v>
      </c>
      <c r="B18" s="119" t="s">
        <v>90</v>
      </c>
      <c r="C18" s="120" t="s">
        <v>9</v>
      </c>
      <c r="D18" s="128">
        <f>D9</f>
        <v>515.36</v>
      </c>
      <c r="E18" s="74"/>
      <c r="F18" s="74"/>
      <c r="G18" s="74"/>
      <c r="H18" s="74"/>
      <c r="I18" s="74"/>
      <c r="J18" s="74"/>
      <c r="K18" s="122"/>
      <c r="L18" s="89"/>
      <c r="M18" s="10"/>
    </row>
    <row r="19" spans="1:13" s="2" customFormat="1">
      <c r="A19" s="123"/>
      <c r="B19" s="126" t="s">
        <v>99</v>
      </c>
      <c r="C19" s="125"/>
      <c r="D19" s="124"/>
      <c r="E19" s="124"/>
      <c r="F19" s="124"/>
      <c r="G19" s="124"/>
      <c r="H19" s="124"/>
      <c r="I19" s="124"/>
      <c r="J19" s="124"/>
      <c r="K19" s="124"/>
      <c r="L19" s="89"/>
      <c r="M19" s="10"/>
    </row>
    <row r="20" spans="1:13" s="109" customFormat="1" ht="23.4" customHeight="1">
      <c r="A20" s="118">
        <v>1</v>
      </c>
      <c r="B20" s="119" t="s">
        <v>56</v>
      </c>
      <c r="C20" s="120" t="s">
        <v>9</v>
      </c>
      <c r="D20" s="128">
        <f>1850*1+192*2.25</f>
        <v>2282</v>
      </c>
      <c r="E20" s="74"/>
      <c r="F20" s="74"/>
      <c r="G20" s="74"/>
      <c r="H20" s="74"/>
      <c r="I20" s="74"/>
      <c r="J20" s="74"/>
      <c r="K20" s="122"/>
      <c r="L20" s="107"/>
      <c r="M20" s="108"/>
    </row>
    <row r="21" spans="1:13" s="3" customFormat="1" ht="13.8">
      <c r="A21" s="110"/>
      <c r="B21" s="15" t="s">
        <v>57</v>
      </c>
      <c r="C21" s="23" t="s">
        <v>9</v>
      </c>
      <c r="D21" s="158">
        <f>D20</f>
        <v>2282</v>
      </c>
      <c r="E21" s="68"/>
      <c r="F21" s="67"/>
      <c r="G21" s="67"/>
      <c r="H21" s="67"/>
      <c r="I21" s="68"/>
      <c r="J21" s="67"/>
      <c r="K21" s="90"/>
      <c r="L21" s="92"/>
      <c r="M21" s="111"/>
    </row>
    <row r="22" spans="1:13" s="109" customFormat="1" ht="13.8">
      <c r="A22" s="118">
        <v>2</v>
      </c>
      <c r="B22" s="119" t="s">
        <v>98</v>
      </c>
      <c r="C22" s="120" t="s">
        <v>9</v>
      </c>
      <c r="D22" s="128">
        <v>68</v>
      </c>
      <c r="E22" s="74"/>
      <c r="F22" s="74"/>
      <c r="G22" s="74"/>
      <c r="H22" s="74"/>
      <c r="I22" s="74"/>
      <c r="J22" s="74"/>
      <c r="K22" s="122"/>
      <c r="L22" s="92"/>
      <c r="M22" s="112"/>
    </row>
    <row r="23" spans="1:13" s="109" customFormat="1" ht="13.8">
      <c r="A23" s="81"/>
      <c r="B23" s="15" t="s">
        <v>11</v>
      </c>
      <c r="C23" s="23" t="s">
        <v>9</v>
      </c>
      <c r="D23" s="158">
        <f>D22</f>
        <v>68</v>
      </c>
      <c r="E23" s="67"/>
      <c r="F23" s="67"/>
      <c r="G23" s="67"/>
      <c r="H23" s="67"/>
      <c r="I23" s="67"/>
      <c r="J23" s="67"/>
      <c r="K23" s="90"/>
      <c r="L23" s="92"/>
      <c r="M23" s="112"/>
    </row>
    <row r="24" spans="1:13" s="109" customFormat="1" ht="13.8">
      <c r="A24" s="81"/>
      <c r="B24" s="15" t="s">
        <v>58</v>
      </c>
      <c r="C24" s="23" t="s">
        <v>9</v>
      </c>
      <c r="D24" s="158">
        <f>D22</f>
        <v>68</v>
      </c>
      <c r="E24" s="67"/>
      <c r="F24" s="67"/>
      <c r="G24" s="67"/>
      <c r="H24" s="67"/>
      <c r="I24" s="67"/>
      <c r="J24" s="67"/>
      <c r="K24" s="90"/>
      <c r="L24" s="92"/>
      <c r="M24" s="112"/>
    </row>
    <row r="25" spans="1:13" s="109" customFormat="1" ht="13.8">
      <c r="A25" s="81"/>
      <c r="B25" s="15" t="s">
        <v>12</v>
      </c>
      <c r="C25" s="14"/>
      <c r="D25" s="158"/>
      <c r="E25" s="67"/>
      <c r="F25" s="67"/>
      <c r="G25" s="67"/>
      <c r="H25" s="67"/>
      <c r="I25" s="67"/>
      <c r="J25" s="67"/>
      <c r="K25" s="90"/>
      <c r="L25" s="92"/>
      <c r="M25" s="112"/>
    </row>
    <row r="26" spans="1:13" s="109" customFormat="1" ht="13.8">
      <c r="A26" s="81"/>
      <c r="B26" s="15" t="s">
        <v>60</v>
      </c>
      <c r="C26" s="23" t="s">
        <v>9</v>
      </c>
      <c r="D26" s="158">
        <f>D22*1.25</f>
        <v>85</v>
      </c>
      <c r="E26" s="67"/>
      <c r="F26" s="67"/>
      <c r="G26" s="67"/>
      <c r="H26" s="67"/>
      <c r="I26" s="67"/>
      <c r="J26" s="67"/>
      <c r="K26" s="90"/>
      <c r="L26" s="92"/>
      <c r="M26" s="112"/>
    </row>
    <row r="27" spans="1:13" s="109" customFormat="1" ht="13.8">
      <c r="A27" s="118">
        <v>3</v>
      </c>
      <c r="B27" s="119" t="s">
        <v>100</v>
      </c>
      <c r="C27" s="120" t="s">
        <v>9</v>
      </c>
      <c r="D27" s="128">
        <f>1850*1.1+D20-D22-კონსტრუქციული!D51-კონსტრუქციული!D15-კონსტრუქციული!D24</f>
        <v>4102.9440000000004</v>
      </c>
      <c r="E27" s="74"/>
      <c r="F27" s="74"/>
      <c r="G27" s="74"/>
      <c r="H27" s="74"/>
      <c r="I27" s="74"/>
      <c r="J27" s="74"/>
      <c r="K27" s="122"/>
      <c r="L27" s="92"/>
      <c r="M27" s="112"/>
    </row>
    <row r="28" spans="1:13" s="109" customFormat="1" ht="13.8">
      <c r="A28" s="81"/>
      <c r="B28" s="15" t="s">
        <v>11</v>
      </c>
      <c r="C28" s="23" t="s">
        <v>9</v>
      </c>
      <c r="D28" s="158">
        <f>D27</f>
        <v>4102.9440000000004</v>
      </c>
      <c r="E28" s="67"/>
      <c r="F28" s="67"/>
      <c r="G28" s="67"/>
      <c r="H28" s="67"/>
      <c r="I28" s="67"/>
      <c r="J28" s="67"/>
      <c r="K28" s="90"/>
      <c r="L28" s="92"/>
      <c r="M28" s="112"/>
    </row>
    <row r="29" spans="1:13" s="109" customFormat="1" ht="13.8">
      <c r="A29" s="81"/>
      <c r="B29" s="15" t="s">
        <v>58</v>
      </c>
      <c r="C29" s="23" t="s">
        <v>9</v>
      </c>
      <c r="D29" s="158">
        <f>D27</f>
        <v>4102.9440000000004</v>
      </c>
      <c r="E29" s="67"/>
      <c r="F29" s="67"/>
      <c r="G29" s="67"/>
      <c r="H29" s="67"/>
      <c r="I29" s="67"/>
      <c r="J29" s="67"/>
      <c r="K29" s="90"/>
      <c r="L29" s="92"/>
      <c r="M29" s="112"/>
    </row>
    <row r="30" spans="1:13" s="109" customFormat="1" ht="13.8">
      <c r="A30" s="81"/>
      <c r="B30" s="15" t="s">
        <v>12</v>
      </c>
      <c r="C30" s="14"/>
      <c r="D30" s="91"/>
      <c r="E30" s="67"/>
      <c r="F30" s="67"/>
      <c r="G30" s="67"/>
      <c r="H30" s="67"/>
      <c r="I30" s="67"/>
      <c r="J30" s="67"/>
      <c r="K30" s="90"/>
      <c r="L30" s="92"/>
      <c r="M30" s="112"/>
    </row>
    <row r="31" spans="1:13" s="109" customFormat="1" ht="13.8">
      <c r="A31" s="81"/>
      <c r="B31" s="15" t="s">
        <v>59</v>
      </c>
      <c r="C31" s="23" t="s">
        <v>9</v>
      </c>
      <c r="D31" s="91">
        <f>D27*1.25</f>
        <v>5128.68</v>
      </c>
      <c r="E31" s="67"/>
      <c r="F31" s="67"/>
      <c r="G31" s="67"/>
      <c r="H31" s="67"/>
      <c r="I31" s="67"/>
      <c r="J31" s="67"/>
      <c r="K31" s="90"/>
      <c r="L31" s="92"/>
      <c r="M31" s="112"/>
    </row>
    <row r="32" spans="1:13" s="94" customFormat="1" ht="13.8">
      <c r="A32" s="69"/>
      <c r="B32" s="70" t="s">
        <v>18</v>
      </c>
      <c r="C32" s="69"/>
      <c r="D32" s="71"/>
      <c r="E32" s="72"/>
      <c r="F32" s="179">
        <f>SUM(F8:F31)</f>
        <v>0</v>
      </c>
      <c r="G32" s="179"/>
      <c r="H32" s="179">
        <f t="shared" ref="H32:K32" si="0">SUM(H8:H31)</f>
        <v>0</v>
      </c>
      <c r="I32" s="179"/>
      <c r="J32" s="179">
        <f t="shared" si="0"/>
        <v>0</v>
      </c>
      <c r="K32" s="179">
        <f t="shared" si="0"/>
        <v>0</v>
      </c>
      <c r="L32" s="93"/>
    </row>
    <row r="33" spans="1:20" s="94" customFormat="1" ht="13.8">
      <c r="A33" s="81"/>
      <c r="B33" s="75" t="s">
        <v>175</v>
      </c>
      <c r="C33" s="73" t="s">
        <v>101</v>
      </c>
      <c r="D33" s="75"/>
      <c r="E33" s="76"/>
      <c r="F33" s="77"/>
      <c r="G33" s="77"/>
      <c r="H33" s="77"/>
      <c r="I33" s="77"/>
      <c r="J33" s="77"/>
      <c r="K33" s="78"/>
      <c r="L33" s="93"/>
    </row>
    <row r="34" spans="1:20" s="94" customFormat="1" ht="13.8">
      <c r="A34" s="81"/>
      <c r="B34" s="75" t="s">
        <v>18</v>
      </c>
      <c r="C34" s="73"/>
      <c r="D34" s="75"/>
      <c r="E34" s="76"/>
      <c r="F34" s="77"/>
      <c r="G34" s="77"/>
      <c r="H34" s="77"/>
      <c r="I34" s="77"/>
      <c r="J34" s="77"/>
      <c r="K34" s="78"/>
      <c r="L34" s="93"/>
    </row>
    <row r="35" spans="1:20" s="94" customFormat="1" ht="13.8">
      <c r="A35" s="81"/>
      <c r="B35" s="75" t="s">
        <v>131</v>
      </c>
      <c r="C35" s="73" t="s">
        <v>101</v>
      </c>
      <c r="D35" s="75"/>
      <c r="E35" s="76"/>
      <c r="F35" s="77"/>
      <c r="G35" s="77"/>
      <c r="H35" s="77"/>
      <c r="I35" s="77"/>
      <c r="J35" s="77"/>
      <c r="K35" s="78"/>
      <c r="L35" s="93"/>
    </row>
    <row r="36" spans="1:20" s="94" customFormat="1" ht="13.8">
      <c r="A36" s="81"/>
      <c r="B36" s="75" t="s">
        <v>18</v>
      </c>
      <c r="C36" s="73"/>
      <c r="D36" s="75"/>
      <c r="E36" s="76"/>
      <c r="F36" s="77"/>
      <c r="G36" s="77"/>
      <c r="H36" s="77"/>
      <c r="I36" s="77"/>
      <c r="J36" s="77"/>
      <c r="K36" s="78"/>
      <c r="L36" s="93"/>
    </row>
    <row r="37" spans="1:20" s="80" customFormat="1" ht="13.8">
      <c r="A37" s="81"/>
      <c r="B37" s="75" t="s">
        <v>19</v>
      </c>
      <c r="C37" s="73" t="s">
        <v>101</v>
      </c>
      <c r="D37" s="75"/>
      <c r="E37" s="76"/>
      <c r="F37" s="77"/>
      <c r="G37" s="77"/>
      <c r="H37" s="77"/>
      <c r="I37" s="77"/>
      <c r="J37" s="77"/>
      <c r="K37" s="78"/>
      <c r="L37" s="95"/>
    </row>
    <row r="38" spans="1:20" s="80" customFormat="1" ht="13.8">
      <c r="A38" s="81"/>
      <c r="B38" s="75" t="s">
        <v>18</v>
      </c>
      <c r="C38" s="73"/>
      <c r="D38" s="75"/>
      <c r="E38" s="76"/>
      <c r="F38" s="77"/>
      <c r="G38" s="77"/>
      <c r="H38" s="77"/>
      <c r="I38" s="77"/>
      <c r="J38" s="77"/>
      <c r="K38" s="78"/>
      <c r="L38" s="95"/>
    </row>
    <row r="39" spans="1:20" s="80" customFormat="1" ht="13.8">
      <c r="A39" s="81"/>
      <c r="B39" s="75" t="s">
        <v>20</v>
      </c>
      <c r="C39" s="73" t="s">
        <v>101</v>
      </c>
      <c r="D39" s="75"/>
      <c r="E39" s="76"/>
      <c r="F39" s="77"/>
      <c r="G39" s="77"/>
      <c r="H39" s="77"/>
      <c r="I39" s="77"/>
      <c r="J39" s="77"/>
      <c r="K39" s="78"/>
      <c r="L39" s="95"/>
    </row>
    <row r="40" spans="1:20" s="80" customFormat="1" ht="13.8">
      <c r="A40" s="81"/>
      <c r="B40" s="75" t="s">
        <v>18</v>
      </c>
      <c r="C40" s="73"/>
      <c r="D40" s="75"/>
      <c r="E40" s="76"/>
      <c r="F40" s="77"/>
      <c r="G40" s="77"/>
      <c r="H40" s="77"/>
      <c r="I40" s="77"/>
      <c r="J40" s="77"/>
      <c r="K40" s="78"/>
      <c r="L40" s="96"/>
    </row>
    <row r="41" spans="1:20" s="6" customFormat="1">
      <c r="A41" s="5"/>
      <c r="B41"/>
      <c r="C41" s="7"/>
      <c r="E41"/>
      <c r="F41"/>
      <c r="G41"/>
      <c r="H41"/>
      <c r="I41"/>
      <c r="J41"/>
      <c r="K41" s="97"/>
      <c r="L41" s="98"/>
      <c r="N41"/>
      <c r="O41"/>
      <c r="P41"/>
      <c r="Q41"/>
      <c r="R41"/>
      <c r="S41"/>
      <c r="T41"/>
    </row>
    <row r="42" spans="1:20" s="6" customFormat="1">
      <c r="A42" s="5"/>
      <c r="B42"/>
      <c r="C42" s="7"/>
      <c r="E42"/>
      <c r="F42"/>
      <c r="G42"/>
      <c r="H42"/>
      <c r="I42"/>
      <c r="J42"/>
      <c r="K42" s="97"/>
      <c r="L42" s="98"/>
      <c r="N42"/>
      <c r="O42"/>
      <c r="P42"/>
      <c r="Q42"/>
      <c r="R42"/>
      <c r="S42"/>
      <c r="T42"/>
    </row>
    <row r="43" spans="1:20" s="6" customFormat="1">
      <c r="A43" s="5"/>
      <c r="B43"/>
      <c r="C43" s="7"/>
      <c r="E43"/>
      <c r="F43"/>
      <c r="G43"/>
      <c r="H43"/>
      <c r="I43"/>
      <c r="J43"/>
      <c r="K43" s="97"/>
      <c r="L43" s="98"/>
      <c r="N43"/>
      <c r="O43"/>
      <c r="P43"/>
      <c r="Q43"/>
      <c r="R43"/>
      <c r="S43"/>
      <c r="T43"/>
    </row>
    <row r="44" spans="1:20">
      <c r="A44" s="5"/>
      <c r="C44" s="7"/>
      <c r="D44" s="6"/>
      <c r="L44" s="98"/>
      <c r="M44" s="6"/>
    </row>
    <row r="45" spans="1:20">
      <c r="A45" s="5"/>
      <c r="C45" s="7"/>
      <c r="D45" s="6"/>
      <c r="L45" s="98"/>
      <c r="M45" s="6"/>
    </row>
    <row r="46" spans="1:20">
      <c r="A46" s="5"/>
      <c r="C46" s="7"/>
      <c r="D46" s="6"/>
      <c r="L46" s="98"/>
      <c r="M46" s="6"/>
    </row>
    <row r="47" spans="1:20">
      <c r="A47" s="5"/>
      <c r="C47" s="7"/>
      <c r="D47" s="6"/>
      <c r="L47" s="98"/>
      <c r="M47" s="6"/>
    </row>
    <row r="48" spans="1:20">
      <c r="A48" s="5"/>
      <c r="C48" s="7"/>
      <c r="D48" s="6"/>
      <c r="L48" s="98"/>
      <c r="M48" s="6"/>
    </row>
    <row r="49" spans="1:13">
      <c r="A49" s="5"/>
      <c r="C49" s="7"/>
      <c r="D49" s="6"/>
      <c r="L49" s="98"/>
      <c r="M49" s="6"/>
    </row>
    <row r="50" spans="1:13">
      <c r="A50" s="5"/>
      <c r="C50" s="7"/>
      <c r="D50" s="6"/>
      <c r="L50" s="98"/>
      <c r="M50" s="6"/>
    </row>
    <row r="51" spans="1:13">
      <c r="A51" s="5"/>
      <c r="C51" s="7"/>
      <c r="D51" s="6"/>
      <c r="L51" s="98"/>
      <c r="M51" s="6"/>
    </row>
    <row r="52" spans="1:13">
      <c r="A52" s="5"/>
      <c r="C52" s="7"/>
      <c r="D52" s="6"/>
      <c r="L52" s="98"/>
      <c r="M52" s="6"/>
    </row>
    <row r="53" spans="1:13">
      <c r="A53" s="5"/>
      <c r="C53" s="7"/>
      <c r="D53" s="6"/>
      <c r="L53" s="98"/>
      <c r="M53" s="6"/>
    </row>
    <row r="54" spans="1:13">
      <c r="A54" s="5"/>
      <c r="C54" s="7"/>
      <c r="D54" s="6"/>
      <c r="L54" s="98"/>
      <c r="M54" s="6"/>
    </row>
    <row r="55" spans="1:13">
      <c r="A55" s="5"/>
      <c r="C55" s="7"/>
      <c r="D55" s="6"/>
      <c r="L55" s="98"/>
      <c r="M55" s="6"/>
    </row>
    <row r="56" spans="1:13">
      <c r="A56" s="5"/>
      <c r="C56" s="7"/>
      <c r="D56" s="6"/>
      <c r="L56" s="98"/>
      <c r="M56" s="6"/>
    </row>
    <row r="57" spans="1:13">
      <c r="A57" s="5"/>
      <c r="C57" s="7"/>
      <c r="D57" s="6"/>
      <c r="L57" s="98"/>
      <c r="M57" s="6"/>
    </row>
    <row r="58" spans="1:13">
      <c r="A58" s="5"/>
      <c r="C58" s="7"/>
      <c r="D58" s="6"/>
      <c r="L58" s="98"/>
      <c r="M58" s="6"/>
    </row>
    <row r="59" spans="1:13">
      <c r="A59" s="5"/>
      <c r="C59" s="7"/>
      <c r="D59" s="6"/>
      <c r="L59" s="98"/>
      <c r="M59" s="6"/>
    </row>
    <row r="60" spans="1:13">
      <c r="A60" s="5"/>
      <c r="C60" s="7"/>
      <c r="D60" s="6"/>
      <c r="L60" s="98"/>
      <c r="M60" s="6"/>
    </row>
    <row r="61" spans="1:13">
      <c r="A61" s="5"/>
      <c r="C61" s="7"/>
      <c r="D61" s="6"/>
      <c r="L61" s="98"/>
      <c r="M61" s="6"/>
    </row>
    <row r="62" spans="1:13">
      <c r="A62" s="5"/>
      <c r="C62" s="7"/>
      <c r="D62" s="6"/>
      <c r="L62" s="98"/>
      <c r="M62" s="6"/>
    </row>
    <row r="63" spans="1:13">
      <c r="A63" s="5"/>
      <c r="C63" s="7"/>
      <c r="D63" s="6"/>
      <c r="L63" s="98"/>
      <c r="M63" s="6"/>
    </row>
    <row r="64" spans="1:13">
      <c r="A64" s="5"/>
      <c r="C64" s="7"/>
      <c r="D64" s="6"/>
      <c r="L64" s="98"/>
      <c r="M64" s="6"/>
    </row>
    <row r="65" spans="1:13">
      <c r="A65" s="5"/>
      <c r="C65" s="7"/>
      <c r="D65" s="6"/>
      <c r="L65" s="98"/>
      <c r="M65" s="6"/>
    </row>
    <row r="66" spans="1:13">
      <c r="A66" s="5"/>
      <c r="C66" s="7"/>
      <c r="D66" s="6"/>
      <c r="L66" s="98"/>
      <c r="M66" s="6"/>
    </row>
    <row r="67" spans="1:13">
      <c r="A67" s="5"/>
      <c r="C67" s="7"/>
      <c r="D67" s="6"/>
      <c r="L67" s="98"/>
      <c r="M67" s="6"/>
    </row>
    <row r="68" spans="1:13">
      <c r="A68" s="5"/>
      <c r="C68" s="7"/>
      <c r="D68" s="6"/>
      <c r="L68" s="98"/>
      <c r="M68" s="6"/>
    </row>
    <row r="69" spans="1:13">
      <c r="A69" s="5"/>
      <c r="C69" s="7"/>
      <c r="D69" s="6"/>
      <c r="L69" s="98"/>
      <c r="M69" s="6"/>
    </row>
    <row r="70" spans="1:13">
      <c r="A70" s="5"/>
      <c r="C70" s="7"/>
      <c r="D70" s="6"/>
      <c r="L70" s="98"/>
      <c r="M70" s="6"/>
    </row>
    <row r="71" spans="1:13">
      <c r="A71" s="5"/>
      <c r="C71" s="7"/>
      <c r="D71" s="6"/>
      <c r="L71" s="98"/>
      <c r="M71" s="6"/>
    </row>
    <row r="72" spans="1:13">
      <c r="A72" s="5"/>
      <c r="C72" s="7"/>
      <c r="D72" s="6"/>
      <c r="L72" s="98"/>
      <c r="M72" s="6"/>
    </row>
    <row r="73" spans="1:13">
      <c r="A73" s="5"/>
      <c r="C73" s="7"/>
      <c r="D73" s="6"/>
      <c r="L73" s="98"/>
      <c r="M73" s="6"/>
    </row>
    <row r="74" spans="1:13">
      <c r="A74" s="5"/>
      <c r="C74" s="7"/>
      <c r="D74" s="6"/>
      <c r="L74" s="98"/>
      <c r="M74" s="6"/>
    </row>
    <row r="75" spans="1:13">
      <c r="A75" s="5"/>
      <c r="C75" s="7"/>
      <c r="D75" s="6"/>
      <c r="L75" s="98"/>
      <c r="M75" s="6"/>
    </row>
    <row r="76" spans="1:13">
      <c r="A76" s="5"/>
      <c r="C76" s="7"/>
      <c r="D76" s="6"/>
      <c r="L76" s="98"/>
      <c r="M76" s="6"/>
    </row>
    <row r="77" spans="1:13">
      <c r="A77" s="5"/>
      <c r="C77" s="7"/>
      <c r="D77" s="6"/>
      <c r="L77" s="98"/>
      <c r="M77" s="6"/>
    </row>
    <row r="78" spans="1:13">
      <c r="A78" s="5"/>
      <c r="C78" s="7"/>
      <c r="D78" s="6"/>
      <c r="L78" s="98"/>
      <c r="M78" s="6"/>
    </row>
    <row r="79" spans="1:13">
      <c r="A79" s="5"/>
      <c r="C79" s="7"/>
      <c r="D79" s="6"/>
      <c r="L79" s="98"/>
      <c r="M79" s="6"/>
    </row>
    <row r="80" spans="1:13">
      <c r="A80" s="5"/>
      <c r="C80" s="7"/>
      <c r="D80" s="6"/>
      <c r="L80" s="98"/>
      <c r="M80" s="6"/>
    </row>
    <row r="81" spans="1:13">
      <c r="A81" s="5"/>
      <c r="C81" s="7"/>
      <c r="D81" s="6"/>
      <c r="L81" s="98"/>
      <c r="M81" s="6"/>
    </row>
    <row r="82" spans="1:13">
      <c r="A82" s="5"/>
      <c r="C82" s="7"/>
      <c r="D82" s="6"/>
      <c r="L82" s="98"/>
      <c r="M82" s="6"/>
    </row>
    <row r="83" spans="1:13">
      <c r="A83" s="5"/>
      <c r="C83" s="7"/>
      <c r="D83" s="6"/>
      <c r="L83" s="98"/>
      <c r="M83" s="6"/>
    </row>
    <row r="84" spans="1:13">
      <c r="A84" s="5"/>
      <c r="C84" s="7"/>
      <c r="D84" s="6"/>
      <c r="L84" s="98"/>
      <c r="M84" s="6"/>
    </row>
    <row r="85" spans="1:13">
      <c r="A85" s="5"/>
      <c r="C85" s="7"/>
      <c r="D85" s="6"/>
      <c r="L85" s="98"/>
      <c r="M85" s="6"/>
    </row>
    <row r="86" spans="1:13">
      <c r="A86" s="5"/>
      <c r="C86" s="7"/>
      <c r="D86" s="6"/>
      <c r="L86" s="98"/>
      <c r="M86" s="6"/>
    </row>
    <row r="87" spans="1:13">
      <c r="A87" s="5"/>
      <c r="C87" s="7"/>
      <c r="D87" s="6"/>
      <c r="L87" s="98"/>
      <c r="M87" s="6"/>
    </row>
    <row r="88" spans="1:13">
      <c r="A88" s="5"/>
      <c r="C88" s="7"/>
      <c r="D88" s="6"/>
      <c r="L88" s="98"/>
      <c r="M88" s="6"/>
    </row>
    <row r="89" spans="1:13">
      <c r="A89" s="5"/>
      <c r="C89" s="7"/>
      <c r="D89" s="6"/>
      <c r="L89" s="98"/>
      <c r="M89" s="6"/>
    </row>
    <row r="90" spans="1:13">
      <c r="A90" s="5"/>
      <c r="C90" s="7"/>
      <c r="D90" s="6"/>
      <c r="L90" s="98"/>
      <c r="M90" s="6"/>
    </row>
    <row r="91" spans="1:13">
      <c r="A91" s="5"/>
      <c r="C91" s="7"/>
      <c r="D91" s="6"/>
      <c r="L91" s="98"/>
      <c r="M91" s="6"/>
    </row>
    <row r="92" spans="1:13">
      <c r="A92" s="5"/>
      <c r="C92" s="7"/>
      <c r="D92" s="6"/>
      <c r="L92" s="98"/>
      <c r="M92" s="6"/>
    </row>
    <row r="93" spans="1:13">
      <c r="A93" s="5"/>
      <c r="C93" s="7"/>
      <c r="D93" s="6"/>
      <c r="L93" s="98"/>
      <c r="M93" s="6"/>
    </row>
    <row r="94" spans="1:13">
      <c r="A94" s="5"/>
      <c r="C94" s="7"/>
      <c r="D94" s="6"/>
      <c r="L94" s="98"/>
      <c r="M94" s="6"/>
    </row>
    <row r="95" spans="1:13">
      <c r="A95" s="5"/>
      <c r="C95" s="7"/>
      <c r="D95" s="6"/>
      <c r="L95" s="98"/>
      <c r="M95" s="6"/>
    </row>
    <row r="96" spans="1:13">
      <c r="A96" s="5"/>
      <c r="C96" s="7"/>
      <c r="D96" s="6"/>
      <c r="L96" s="98"/>
      <c r="M96" s="6"/>
    </row>
    <row r="97" spans="1:13">
      <c r="A97" s="5"/>
      <c r="C97" s="7"/>
      <c r="D97" s="6"/>
      <c r="L97" s="98"/>
      <c r="M97" s="6"/>
    </row>
    <row r="98" spans="1:13">
      <c r="A98" s="5"/>
      <c r="C98" s="7"/>
      <c r="D98" s="6"/>
      <c r="L98" s="98"/>
      <c r="M98" s="6"/>
    </row>
    <row r="99" spans="1:13">
      <c r="A99" s="5"/>
      <c r="C99" s="7"/>
      <c r="D99" s="6"/>
      <c r="L99" s="98"/>
      <c r="M99" s="6"/>
    </row>
    <row r="100" spans="1:13">
      <c r="A100" s="5"/>
      <c r="C100" s="7"/>
      <c r="D100" s="6"/>
      <c r="L100" s="98"/>
      <c r="M100" s="6"/>
    </row>
    <row r="101" spans="1:13">
      <c r="A101" s="5"/>
      <c r="C101" s="7"/>
      <c r="D101" s="6"/>
      <c r="L101" s="98"/>
      <c r="M101" s="6"/>
    </row>
    <row r="102" spans="1:13">
      <c r="A102" s="5"/>
      <c r="C102" s="7"/>
      <c r="D102" s="6"/>
      <c r="L102" s="98"/>
      <c r="M102" s="6"/>
    </row>
    <row r="103" spans="1:13">
      <c r="A103" s="5"/>
      <c r="C103" s="7"/>
      <c r="D103" s="6"/>
      <c r="L103" s="98"/>
      <c r="M103" s="6"/>
    </row>
    <row r="104" spans="1:13">
      <c r="A104" s="5"/>
      <c r="C104" s="7"/>
      <c r="D104" s="6"/>
      <c r="L104" s="98"/>
      <c r="M104" s="6"/>
    </row>
    <row r="105" spans="1:13">
      <c r="A105" s="5"/>
      <c r="C105" s="7"/>
      <c r="D105" s="6"/>
      <c r="L105" s="98"/>
      <c r="M105" s="6"/>
    </row>
    <row r="106" spans="1:13">
      <c r="A106" s="5"/>
      <c r="C106" s="7"/>
      <c r="D106" s="6"/>
      <c r="L106" s="98"/>
      <c r="M106" s="6"/>
    </row>
    <row r="107" spans="1:13">
      <c r="A107" s="5"/>
      <c r="C107" s="7"/>
      <c r="D107" s="6"/>
      <c r="L107" s="98"/>
      <c r="M107" s="6"/>
    </row>
    <row r="108" spans="1:13">
      <c r="A108" s="5"/>
      <c r="C108" s="7"/>
      <c r="D108" s="6"/>
      <c r="L108" s="98"/>
      <c r="M108" s="6"/>
    </row>
    <row r="109" spans="1:13">
      <c r="A109" s="5"/>
      <c r="C109" s="7"/>
      <c r="D109" s="6"/>
      <c r="L109" s="98"/>
      <c r="M109" s="6"/>
    </row>
    <row r="110" spans="1:13">
      <c r="A110" s="5"/>
      <c r="C110" s="7"/>
      <c r="D110" s="6"/>
      <c r="L110" s="98"/>
      <c r="M110" s="6"/>
    </row>
    <row r="111" spans="1:13">
      <c r="A111" s="5"/>
      <c r="C111" s="7"/>
      <c r="D111" s="6"/>
      <c r="L111" s="98"/>
      <c r="M111" s="6"/>
    </row>
    <row r="112" spans="1:13">
      <c r="A112" s="5"/>
      <c r="C112" s="7"/>
      <c r="D112" s="6"/>
      <c r="L112" s="98"/>
      <c r="M112" s="6"/>
    </row>
    <row r="113" spans="1:13">
      <c r="A113" s="5"/>
      <c r="C113" s="7"/>
      <c r="D113" s="6"/>
      <c r="L113" s="98"/>
      <c r="M113" s="6"/>
    </row>
    <row r="114" spans="1:13">
      <c r="A114" s="5"/>
      <c r="C114" s="7"/>
      <c r="D114" s="6"/>
      <c r="L114" s="98"/>
      <c r="M114" s="6"/>
    </row>
    <row r="115" spans="1:13">
      <c r="A115" s="5"/>
      <c r="C115" s="7"/>
      <c r="D115" s="6"/>
      <c r="L115" s="98"/>
      <c r="M115" s="6"/>
    </row>
    <row r="116" spans="1:13">
      <c r="A116" s="5"/>
      <c r="C116" s="7"/>
      <c r="D116" s="6"/>
      <c r="L116" s="98"/>
      <c r="M116" s="6"/>
    </row>
    <row r="117" spans="1:13">
      <c r="A117" s="5"/>
      <c r="C117" s="7"/>
      <c r="D117" s="6"/>
      <c r="L117" s="98"/>
      <c r="M117" s="6"/>
    </row>
    <row r="118" spans="1:13">
      <c r="A118" s="5"/>
      <c r="C118" s="7"/>
      <c r="D118" s="6"/>
      <c r="L118" s="98"/>
      <c r="M118" s="6"/>
    </row>
    <row r="119" spans="1:13">
      <c r="A119" s="5"/>
      <c r="C119" s="7"/>
      <c r="D119" s="6"/>
      <c r="L119" s="98"/>
      <c r="M119" s="6"/>
    </row>
    <row r="120" spans="1:13">
      <c r="A120" s="5"/>
      <c r="C120" s="7"/>
      <c r="D120" s="6"/>
      <c r="L120" s="98"/>
      <c r="M120" s="6"/>
    </row>
    <row r="121" spans="1:13">
      <c r="A121" s="5"/>
      <c r="C121" s="7"/>
      <c r="D121" s="6"/>
      <c r="L121" s="98"/>
      <c r="M121" s="6"/>
    </row>
    <row r="122" spans="1:13">
      <c r="A122" s="5"/>
      <c r="C122" s="7"/>
      <c r="D122" s="6"/>
      <c r="L122" s="98"/>
      <c r="M122" s="6"/>
    </row>
    <row r="123" spans="1:13">
      <c r="A123" s="5"/>
      <c r="C123" s="7"/>
      <c r="D123" s="6"/>
      <c r="L123" s="98"/>
      <c r="M123" s="6"/>
    </row>
    <row r="124" spans="1:13">
      <c r="A124" s="5"/>
      <c r="C124" s="7"/>
      <c r="D124" s="6"/>
      <c r="L124" s="98"/>
      <c r="M124" s="6"/>
    </row>
    <row r="125" spans="1:13">
      <c r="A125" s="5"/>
      <c r="C125" s="7"/>
      <c r="D125" s="6"/>
      <c r="L125" s="98"/>
      <c r="M125" s="6"/>
    </row>
    <row r="126" spans="1:13">
      <c r="A126" s="5"/>
      <c r="C126" s="7"/>
      <c r="D126" s="6"/>
      <c r="L126" s="98"/>
      <c r="M126" s="6"/>
    </row>
    <row r="127" spans="1:13">
      <c r="A127" s="5"/>
      <c r="C127" s="7"/>
      <c r="D127" s="6"/>
      <c r="L127" s="98"/>
      <c r="M127" s="6"/>
    </row>
    <row r="128" spans="1:13">
      <c r="A128" s="5"/>
      <c r="C128" s="7"/>
      <c r="D128" s="6"/>
      <c r="L128" s="98"/>
      <c r="M128" s="6"/>
    </row>
    <row r="129" spans="1:13">
      <c r="A129" s="5"/>
      <c r="C129" s="7"/>
      <c r="D129" s="6"/>
      <c r="L129" s="98"/>
      <c r="M129" s="6"/>
    </row>
    <row r="130" spans="1:13">
      <c r="A130" s="5"/>
      <c r="C130" s="7"/>
      <c r="D130" s="6"/>
      <c r="L130" s="98"/>
      <c r="M130" s="6"/>
    </row>
    <row r="131" spans="1:13">
      <c r="A131" s="5"/>
      <c r="C131" s="7"/>
      <c r="D131" s="6"/>
      <c r="L131" s="98"/>
      <c r="M131" s="6"/>
    </row>
    <row r="132" spans="1:13">
      <c r="A132" s="5"/>
      <c r="C132" s="7"/>
      <c r="D132" s="6"/>
      <c r="L132" s="98"/>
      <c r="M132" s="6"/>
    </row>
    <row r="133" spans="1:13">
      <c r="A133" s="5"/>
      <c r="C133" s="7"/>
      <c r="D133" s="6"/>
      <c r="L133" s="98"/>
      <c r="M133" s="6"/>
    </row>
    <row r="134" spans="1:13">
      <c r="A134" s="5"/>
      <c r="C134" s="7"/>
      <c r="D134" s="6"/>
      <c r="L134" s="98"/>
      <c r="M134" s="6"/>
    </row>
    <row r="135" spans="1:13">
      <c r="A135" s="5"/>
      <c r="C135" s="7"/>
      <c r="D135" s="6"/>
      <c r="L135" s="98"/>
      <c r="M135" s="6"/>
    </row>
    <row r="136" spans="1:13">
      <c r="A136" s="5"/>
      <c r="C136" s="7"/>
      <c r="D136" s="6"/>
      <c r="L136" s="98"/>
      <c r="M136" s="6"/>
    </row>
    <row r="137" spans="1:13">
      <c r="A137" s="5"/>
      <c r="C137" s="7"/>
      <c r="D137" s="6"/>
      <c r="L137" s="98"/>
      <c r="M137" s="6"/>
    </row>
    <row r="138" spans="1:13">
      <c r="A138" s="5"/>
      <c r="C138" s="7"/>
      <c r="D138" s="6"/>
      <c r="L138" s="98"/>
      <c r="M138" s="6"/>
    </row>
    <row r="139" spans="1:13">
      <c r="A139" s="5"/>
      <c r="C139" s="7"/>
      <c r="D139" s="6"/>
      <c r="L139" s="98"/>
      <c r="M139" s="6"/>
    </row>
    <row r="140" spans="1:13">
      <c r="A140" s="5"/>
      <c r="C140" s="7"/>
      <c r="D140" s="6"/>
      <c r="L140" s="98"/>
      <c r="M140" s="6"/>
    </row>
    <row r="141" spans="1:13">
      <c r="A141" s="5"/>
      <c r="C141" s="7"/>
      <c r="D141" s="6"/>
      <c r="L141" s="98"/>
      <c r="M141" s="6"/>
    </row>
    <row r="142" spans="1:13">
      <c r="A142" s="5"/>
      <c r="C142" s="7"/>
      <c r="D142" s="6"/>
      <c r="L142" s="98"/>
      <c r="M142" s="6"/>
    </row>
    <row r="143" spans="1:13">
      <c r="A143" s="5"/>
      <c r="C143" s="7"/>
      <c r="D143" s="6"/>
      <c r="L143" s="98"/>
      <c r="M143" s="6"/>
    </row>
    <row r="144" spans="1:13">
      <c r="A144" s="5"/>
      <c r="C144" s="7"/>
      <c r="D144" s="6"/>
      <c r="L144" s="98"/>
      <c r="M144" s="6"/>
    </row>
    <row r="145" spans="1:13">
      <c r="A145" s="5"/>
      <c r="C145" s="7"/>
      <c r="D145" s="6"/>
      <c r="L145" s="98"/>
      <c r="M145" s="6"/>
    </row>
    <row r="146" spans="1:13">
      <c r="A146" s="5"/>
      <c r="C146" s="7"/>
      <c r="D146" s="6"/>
      <c r="L146" s="98"/>
      <c r="M146" s="6"/>
    </row>
    <row r="147" spans="1:13">
      <c r="A147" s="5"/>
      <c r="C147" s="7"/>
      <c r="D147" s="6"/>
      <c r="L147" s="98"/>
      <c r="M147" s="6"/>
    </row>
    <row r="148" spans="1:13">
      <c r="A148" s="5"/>
      <c r="C148" s="7"/>
      <c r="D148" s="6"/>
      <c r="L148" s="98"/>
      <c r="M148" s="6"/>
    </row>
    <row r="149" spans="1:13">
      <c r="A149" s="5"/>
      <c r="C149" s="7"/>
      <c r="D149" s="6"/>
      <c r="L149" s="98"/>
      <c r="M149" s="6"/>
    </row>
    <row r="150" spans="1:13">
      <c r="A150" s="5"/>
      <c r="C150" s="7"/>
      <c r="D150" s="6"/>
      <c r="L150" s="98"/>
      <c r="M150" s="6"/>
    </row>
    <row r="151" spans="1:13">
      <c r="A151" s="5"/>
      <c r="C151" s="7"/>
      <c r="D151" s="6"/>
      <c r="L151" s="98"/>
      <c r="M151" s="6"/>
    </row>
    <row r="152" spans="1:13">
      <c r="A152" s="5"/>
      <c r="C152" s="7"/>
      <c r="D152" s="6"/>
      <c r="L152" s="98"/>
      <c r="M152" s="6"/>
    </row>
    <row r="153" spans="1:13">
      <c r="A153" s="5"/>
      <c r="C153" s="7"/>
      <c r="D153" s="6"/>
      <c r="L153" s="98"/>
      <c r="M153" s="6"/>
    </row>
    <row r="154" spans="1:13">
      <c r="A154" s="5"/>
      <c r="C154" s="7"/>
      <c r="D154" s="6"/>
      <c r="L154" s="98"/>
      <c r="M154" s="6"/>
    </row>
    <row r="155" spans="1:13">
      <c r="A155" s="5"/>
      <c r="C155" s="7"/>
      <c r="D155" s="6"/>
      <c r="L155" s="98"/>
      <c r="M155" s="6"/>
    </row>
    <row r="156" spans="1:13">
      <c r="A156" s="5"/>
      <c r="C156" s="7"/>
      <c r="D156" s="6"/>
      <c r="L156" s="98"/>
      <c r="M156" s="6"/>
    </row>
    <row r="157" spans="1:13">
      <c r="A157" s="5"/>
      <c r="C157" s="7"/>
      <c r="D157" s="6"/>
      <c r="L157" s="98"/>
      <c r="M157" s="6"/>
    </row>
    <row r="158" spans="1:13">
      <c r="A158" s="5"/>
      <c r="C158" s="7"/>
      <c r="D158" s="6"/>
      <c r="L158" s="98"/>
      <c r="M158" s="6"/>
    </row>
    <row r="159" spans="1:13">
      <c r="A159" s="5"/>
      <c r="C159" s="7"/>
      <c r="D159" s="6"/>
      <c r="L159" s="98"/>
      <c r="M159" s="6"/>
    </row>
    <row r="160" spans="1:13">
      <c r="A160" s="5"/>
      <c r="C160" s="7"/>
      <c r="D160" s="6"/>
      <c r="L160" s="98"/>
      <c r="M160" s="6"/>
    </row>
    <row r="161" spans="1:13">
      <c r="A161" s="5"/>
      <c r="C161" s="7"/>
      <c r="D161" s="6"/>
      <c r="L161" s="98"/>
      <c r="M161" s="6"/>
    </row>
    <row r="162" spans="1:13">
      <c r="A162" s="5"/>
      <c r="C162" s="7"/>
      <c r="D162" s="6"/>
      <c r="L162" s="98"/>
      <c r="M162" s="6"/>
    </row>
    <row r="163" spans="1:13">
      <c r="A163" s="5"/>
      <c r="C163" s="7"/>
      <c r="D163" s="6"/>
      <c r="L163" s="98"/>
      <c r="M163" s="6"/>
    </row>
    <row r="164" spans="1:13">
      <c r="A164" s="5"/>
      <c r="C164" s="7"/>
      <c r="D164" s="6"/>
      <c r="L164" s="98"/>
      <c r="M164" s="6"/>
    </row>
    <row r="165" spans="1:13">
      <c r="A165" s="5"/>
      <c r="C165" s="7"/>
      <c r="D165" s="6"/>
      <c r="L165" s="98"/>
      <c r="M165" s="6"/>
    </row>
    <row r="166" spans="1:13">
      <c r="A166" s="5"/>
      <c r="C166" s="7"/>
      <c r="D166" s="6"/>
      <c r="L166" s="98"/>
      <c r="M166" s="6"/>
    </row>
    <row r="167" spans="1:13">
      <c r="A167" s="5"/>
      <c r="C167" s="7"/>
      <c r="D167" s="6"/>
      <c r="L167" s="98"/>
      <c r="M167" s="6"/>
    </row>
    <row r="168" spans="1:13">
      <c r="A168" s="5"/>
      <c r="C168" s="7"/>
      <c r="D168" s="6"/>
      <c r="L168" s="98"/>
      <c r="M168" s="6"/>
    </row>
    <row r="169" spans="1:13">
      <c r="A169" s="5"/>
      <c r="C169" s="7"/>
      <c r="D169" s="6"/>
      <c r="L169" s="98"/>
      <c r="M169" s="6"/>
    </row>
    <row r="170" spans="1:13">
      <c r="A170" s="5"/>
      <c r="C170" s="7"/>
      <c r="D170" s="6"/>
      <c r="L170" s="98"/>
      <c r="M170" s="6"/>
    </row>
    <row r="171" spans="1:13">
      <c r="A171" s="5"/>
      <c r="C171" s="7"/>
      <c r="D171" s="6"/>
      <c r="L171" s="98"/>
      <c r="M171" s="6"/>
    </row>
    <row r="172" spans="1:13">
      <c r="A172" s="5"/>
      <c r="C172" s="7"/>
      <c r="D172" s="6"/>
      <c r="L172" s="98"/>
      <c r="M172" s="6"/>
    </row>
    <row r="173" spans="1:13">
      <c r="A173" s="5"/>
      <c r="C173" s="7"/>
      <c r="D173" s="6"/>
      <c r="L173" s="98"/>
      <c r="M173" s="6"/>
    </row>
    <row r="174" spans="1:13">
      <c r="A174" s="5"/>
      <c r="C174" s="7"/>
      <c r="D174" s="6"/>
      <c r="L174" s="98"/>
      <c r="M174" s="6"/>
    </row>
    <row r="175" spans="1:13">
      <c r="A175" s="5"/>
      <c r="C175" s="7"/>
      <c r="D175" s="6"/>
      <c r="L175" s="98"/>
      <c r="M175" s="6"/>
    </row>
    <row r="176" spans="1:13">
      <c r="A176" s="5"/>
      <c r="C176" s="7"/>
      <c r="D176" s="6"/>
      <c r="L176" s="98"/>
      <c r="M176" s="6"/>
    </row>
    <row r="177" spans="1:13">
      <c r="A177" s="5"/>
      <c r="C177" s="7"/>
      <c r="D177" s="6"/>
      <c r="L177" s="98"/>
      <c r="M177" s="6"/>
    </row>
    <row r="178" spans="1:13">
      <c r="A178" s="5"/>
      <c r="C178" s="7"/>
      <c r="D178" s="6"/>
      <c r="L178" s="98"/>
      <c r="M178" s="6"/>
    </row>
    <row r="179" spans="1:13">
      <c r="A179" s="5"/>
      <c r="C179" s="7"/>
      <c r="D179" s="6"/>
      <c r="L179" s="98"/>
      <c r="M179" s="6"/>
    </row>
    <row r="180" spans="1:13">
      <c r="A180" s="5"/>
      <c r="C180" s="7"/>
      <c r="D180" s="6"/>
      <c r="L180" s="98"/>
      <c r="M180" s="6"/>
    </row>
    <row r="181" spans="1:13">
      <c r="A181" s="5"/>
      <c r="C181" s="7"/>
      <c r="D181" s="6"/>
      <c r="L181" s="98"/>
      <c r="M181" s="6"/>
    </row>
    <row r="182" spans="1:13">
      <c r="A182" s="5"/>
      <c r="C182" s="7"/>
      <c r="D182" s="6"/>
      <c r="L182" s="98"/>
      <c r="M182" s="6"/>
    </row>
    <row r="183" spans="1:13">
      <c r="A183" s="5"/>
      <c r="C183" s="7"/>
      <c r="D183" s="6"/>
      <c r="L183" s="98"/>
      <c r="M183" s="6"/>
    </row>
    <row r="184" spans="1:13">
      <c r="A184" s="5"/>
      <c r="C184" s="7"/>
      <c r="D184" s="6"/>
      <c r="L184" s="98"/>
      <c r="M184" s="6"/>
    </row>
    <row r="185" spans="1:13">
      <c r="A185" s="5"/>
      <c r="C185" s="7"/>
      <c r="D185" s="6"/>
      <c r="L185" s="98"/>
      <c r="M185" s="6"/>
    </row>
    <row r="186" spans="1:13">
      <c r="A186" s="5"/>
      <c r="C186" s="7"/>
      <c r="D186" s="6"/>
      <c r="L186" s="98"/>
      <c r="M186" s="6"/>
    </row>
    <row r="187" spans="1:13">
      <c r="A187" s="5"/>
      <c r="C187" s="7"/>
      <c r="D187" s="6"/>
      <c r="L187" s="98"/>
      <c r="M187" s="6"/>
    </row>
    <row r="188" spans="1:13">
      <c r="A188" s="5"/>
      <c r="C188" s="7"/>
      <c r="D188" s="6"/>
      <c r="L188" s="98"/>
      <c r="M188" s="6"/>
    </row>
    <row r="189" spans="1:13">
      <c r="A189" s="5"/>
      <c r="C189" s="7"/>
      <c r="D189" s="6"/>
      <c r="L189" s="98"/>
      <c r="M189" s="6"/>
    </row>
    <row r="190" spans="1:13">
      <c r="A190" s="5"/>
      <c r="C190" s="7"/>
      <c r="D190" s="6"/>
      <c r="L190" s="98"/>
      <c r="M190" s="6"/>
    </row>
    <row r="191" spans="1:13">
      <c r="A191" s="5"/>
      <c r="C191" s="7"/>
      <c r="D191" s="6"/>
      <c r="L191" s="98"/>
      <c r="M191" s="6"/>
    </row>
    <row r="192" spans="1:13">
      <c r="A192" s="5"/>
      <c r="C192" s="7"/>
      <c r="D192" s="6"/>
      <c r="L192" s="98"/>
      <c r="M192" s="6"/>
    </row>
    <row r="193" spans="1:13">
      <c r="A193" s="5"/>
      <c r="C193" s="7"/>
      <c r="D193" s="6"/>
      <c r="L193" s="98"/>
      <c r="M193" s="6"/>
    </row>
    <row r="194" spans="1:13">
      <c r="A194" s="5"/>
      <c r="C194" s="7"/>
      <c r="D194" s="6"/>
      <c r="L194" s="98"/>
      <c r="M194" s="6"/>
    </row>
    <row r="195" spans="1:13">
      <c r="A195" s="5"/>
      <c r="C195" s="7"/>
      <c r="D195" s="6"/>
      <c r="L195" s="98"/>
      <c r="M195" s="6"/>
    </row>
    <row r="196" spans="1:13">
      <c r="A196" s="5"/>
      <c r="C196" s="7"/>
      <c r="D196" s="6"/>
      <c r="L196" s="98"/>
      <c r="M196" s="6"/>
    </row>
    <row r="197" spans="1:13">
      <c r="A197" s="5"/>
      <c r="C197" s="7"/>
      <c r="D197" s="6"/>
      <c r="L197" s="98"/>
      <c r="M197" s="6"/>
    </row>
    <row r="198" spans="1:13">
      <c r="A198" s="5"/>
      <c r="C198" s="7"/>
      <c r="D198" s="6"/>
      <c r="L198" s="98"/>
      <c r="M198" s="6"/>
    </row>
    <row r="199" spans="1:13">
      <c r="A199" s="5"/>
      <c r="C199" s="7"/>
      <c r="D199" s="6"/>
      <c r="L199" s="98"/>
      <c r="M199" s="6"/>
    </row>
    <row r="200" spans="1:13">
      <c r="A200" s="5"/>
      <c r="C200" s="7"/>
      <c r="D200" s="6"/>
      <c r="L200" s="98"/>
      <c r="M200" s="6"/>
    </row>
    <row r="201" spans="1:13">
      <c r="A201" s="5"/>
      <c r="C201" s="7"/>
      <c r="D201" s="6"/>
      <c r="L201" s="98"/>
      <c r="M201" s="6"/>
    </row>
    <row r="202" spans="1:13">
      <c r="A202" s="5"/>
      <c r="C202" s="7"/>
      <c r="D202" s="6"/>
      <c r="L202" s="98"/>
      <c r="M202" s="6"/>
    </row>
    <row r="203" spans="1:13">
      <c r="A203" s="5"/>
      <c r="C203" s="7"/>
      <c r="D203" s="6"/>
      <c r="L203" s="98"/>
      <c r="M203" s="6"/>
    </row>
    <row r="204" spans="1:13">
      <c r="A204" s="5"/>
      <c r="C204" s="7"/>
      <c r="D204" s="6"/>
      <c r="L204" s="98"/>
      <c r="M204" s="6"/>
    </row>
    <row r="205" spans="1:13">
      <c r="A205" s="5"/>
      <c r="C205" s="7"/>
      <c r="D205" s="6"/>
      <c r="L205" s="98"/>
      <c r="M205" s="6"/>
    </row>
    <row r="206" spans="1:13">
      <c r="A206" s="5"/>
      <c r="C206" s="7"/>
      <c r="D206" s="6"/>
      <c r="L206" s="98"/>
      <c r="M206" s="6"/>
    </row>
    <row r="207" spans="1:13">
      <c r="A207" s="5"/>
      <c r="C207" s="7"/>
      <c r="D207" s="6"/>
      <c r="L207" s="98"/>
      <c r="M207" s="6"/>
    </row>
    <row r="208" spans="1:13">
      <c r="A208" s="5"/>
      <c r="C208" s="7"/>
      <c r="D208" s="6"/>
      <c r="L208" s="98"/>
      <c r="M208" s="6"/>
    </row>
    <row r="209" spans="1:13">
      <c r="A209" s="5"/>
      <c r="C209" s="7"/>
      <c r="D209" s="6"/>
      <c r="L209" s="98"/>
      <c r="M209" s="6"/>
    </row>
    <row r="210" spans="1:13">
      <c r="A210" s="5"/>
      <c r="C210" s="7"/>
      <c r="D210" s="6"/>
      <c r="L210" s="98"/>
      <c r="M210" s="6"/>
    </row>
    <row r="211" spans="1:13">
      <c r="A211" s="5"/>
      <c r="C211" s="7"/>
      <c r="D211" s="6"/>
      <c r="L211" s="98"/>
      <c r="M211" s="6"/>
    </row>
    <row r="212" spans="1:13">
      <c r="A212" s="5"/>
      <c r="C212" s="7"/>
      <c r="D212" s="6"/>
      <c r="L212" s="98"/>
      <c r="M212" s="6"/>
    </row>
    <row r="213" spans="1:13">
      <c r="A213" s="5"/>
      <c r="C213" s="7"/>
      <c r="D213" s="6"/>
      <c r="L213" s="98"/>
      <c r="M213" s="6"/>
    </row>
    <row r="214" spans="1:13">
      <c r="A214" s="5"/>
      <c r="C214" s="7"/>
      <c r="D214" s="6"/>
      <c r="L214" s="98"/>
      <c r="M214" s="6"/>
    </row>
    <row r="215" spans="1:13">
      <c r="A215" s="5"/>
      <c r="C215" s="7"/>
      <c r="D215" s="6"/>
      <c r="L215" s="98"/>
      <c r="M215" s="6"/>
    </row>
    <row r="216" spans="1:13">
      <c r="A216" s="5"/>
      <c r="C216" s="7"/>
      <c r="D216" s="6"/>
      <c r="L216" s="98"/>
      <c r="M216" s="6"/>
    </row>
    <row r="217" spans="1:13">
      <c r="A217" s="5"/>
      <c r="C217" s="7"/>
      <c r="D217" s="6"/>
      <c r="L217" s="98"/>
      <c r="M217" s="6"/>
    </row>
    <row r="218" spans="1:13">
      <c r="A218" s="5"/>
      <c r="C218" s="7"/>
      <c r="D218" s="6"/>
      <c r="L218" s="98"/>
      <c r="M218" s="6"/>
    </row>
    <row r="219" spans="1:13">
      <c r="A219" s="5"/>
      <c r="C219" s="7"/>
      <c r="D219" s="6"/>
      <c r="L219" s="98"/>
      <c r="M219" s="6"/>
    </row>
    <row r="220" spans="1:13">
      <c r="A220" s="5"/>
      <c r="C220" s="7"/>
      <c r="D220" s="6"/>
      <c r="L220" s="98"/>
      <c r="M220" s="6"/>
    </row>
    <row r="221" spans="1:13">
      <c r="A221" s="5"/>
      <c r="C221" s="7"/>
      <c r="D221" s="6"/>
      <c r="L221" s="98"/>
      <c r="M221" s="6"/>
    </row>
    <row r="222" spans="1:13">
      <c r="A222" s="5"/>
      <c r="C222" s="7"/>
      <c r="D222" s="6"/>
      <c r="L222" s="98"/>
      <c r="M222" s="6"/>
    </row>
    <row r="223" spans="1:13">
      <c r="A223" s="5"/>
      <c r="C223" s="7"/>
      <c r="D223" s="6"/>
      <c r="L223" s="98"/>
      <c r="M223" s="6"/>
    </row>
    <row r="224" spans="1:13">
      <c r="A224" s="5"/>
      <c r="C224" s="7"/>
      <c r="D224" s="6"/>
      <c r="L224" s="98"/>
      <c r="M224" s="6"/>
    </row>
    <row r="225" spans="1:13">
      <c r="A225" s="5"/>
      <c r="C225" s="7"/>
      <c r="D225" s="6"/>
      <c r="L225" s="98"/>
      <c r="M225" s="6"/>
    </row>
    <row r="226" spans="1:13">
      <c r="A226" s="5"/>
      <c r="C226" s="7"/>
      <c r="D226" s="6"/>
      <c r="L226" s="98"/>
      <c r="M226" s="6"/>
    </row>
    <row r="227" spans="1:13">
      <c r="A227" s="5"/>
      <c r="C227" s="7"/>
      <c r="D227" s="6"/>
      <c r="L227" s="98"/>
      <c r="M227" s="6"/>
    </row>
    <row r="228" spans="1:13">
      <c r="A228" s="5"/>
      <c r="C228" s="7"/>
      <c r="D228" s="6"/>
      <c r="L228" s="98"/>
      <c r="M228" s="6"/>
    </row>
    <row r="229" spans="1:13">
      <c r="A229" s="5"/>
      <c r="C229" s="7"/>
      <c r="D229" s="6"/>
      <c r="L229" s="98"/>
      <c r="M229" s="6"/>
    </row>
    <row r="230" spans="1:13">
      <c r="A230" s="5"/>
      <c r="C230" s="7"/>
      <c r="D230" s="6"/>
      <c r="L230" s="98"/>
      <c r="M230" s="6"/>
    </row>
    <row r="231" spans="1:13">
      <c r="A231" s="5"/>
      <c r="C231" s="7"/>
      <c r="D231" s="6"/>
      <c r="L231" s="98"/>
      <c r="M231" s="6"/>
    </row>
    <row r="232" spans="1:13">
      <c r="A232" s="5"/>
      <c r="C232" s="7"/>
      <c r="D232" s="6"/>
      <c r="L232" s="98"/>
      <c r="M232" s="6"/>
    </row>
    <row r="233" spans="1:13">
      <c r="A233" s="5"/>
      <c r="C233" s="7"/>
      <c r="D233" s="6"/>
      <c r="L233" s="98"/>
      <c r="M233" s="6"/>
    </row>
    <row r="234" spans="1:13">
      <c r="A234" s="5"/>
      <c r="C234" s="7"/>
      <c r="D234" s="6"/>
      <c r="L234" s="98"/>
      <c r="M234" s="6"/>
    </row>
    <row r="235" spans="1:13">
      <c r="A235" s="5"/>
      <c r="C235" s="7"/>
      <c r="D235" s="6"/>
      <c r="L235" s="98"/>
      <c r="M235" s="6"/>
    </row>
    <row r="236" spans="1:13">
      <c r="A236" s="5"/>
      <c r="C236" s="7"/>
      <c r="D236" s="6"/>
      <c r="L236" s="98"/>
      <c r="M236" s="6"/>
    </row>
    <row r="237" spans="1:13">
      <c r="A237" s="5"/>
      <c r="C237" s="7"/>
      <c r="D237" s="6"/>
      <c r="L237" s="98"/>
      <c r="M237" s="6"/>
    </row>
    <row r="238" spans="1:13">
      <c r="A238" s="5"/>
      <c r="C238" s="7"/>
      <c r="D238" s="6"/>
      <c r="L238" s="98"/>
      <c r="M238" s="6"/>
    </row>
    <row r="239" spans="1:13">
      <c r="A239" s="5"/>
      <c r="C239" s="7"/>
      <c r="D239" s="6"/>
      <c r="L239" s="98"/>
      <c r="M239" s="6"/>
    </row>
    <row r="240" spans="1:13">
      <c r="A240" s="5"/>
      <c r="C240" s="7"/>
      <c r="D240" s="6"/>
      <c r="L240" s="98"/>
      <c r="M240" s="6"/>
    </row>
    <row r="241" spans="1:13">
      <c r="A241" s="5"/>
      <c r="C241" s="7"/>
      <c r="D241" s="6"/>
      <c r="L241" s="98"/>
      <c r="M241" s="6"/>
    </row>
    <row r="242" spans="1:13">
      <c r="A242" s="5"/>
      <c r="C242" s="7"/>
      <c r="D242" s="6"/>
      <c r="L242" s="98"/>
      <c r="M242" s="6"/>
    </row>
    <row r="243" spans="1:13">
      <c r="A243" s="5"/>
      <c r="C243" s="7"/>
      <c r="D243" s="6"/>
      <c r="L243" s="98"/>
      <c r="M243" s="6"/>
    </row>
    <row r="244" spans="1:13">
      <c r="A244" s="5"/>
      <c r="C244" s="7"/>
      <c r="D244" s="6"/>
      <c r="L244" s="98"/>
      <c r="M244" s="6"/>
    </row>
    <row r="245" spans="1:13">
      <c r="A245" s="5"/>
      <c r="C245" s="7"/>
      <c r="D245" s="6"/>
      <c r="L245" s="98"/>
      <c r="M245" s="6"/>
    </row>
    <row r="246" spans="1:13">
      <c r="A246" s="5"/>
      <c r="C246" s="7"/>
      <c r="D246" s="6"/>
      <c r="L246" s="98"/>
      <c r="M246" s="6"/>
    </row>
    <row r="247" spans="1:13">
      <c r="A247" s="5"/>
      <c r="C247" s="7"/>
      <c r="D247" s="6"/>
      <c r="L247" s="98"/>
      <c r="M247" s="6"/>
    </row>
    <row r="248" spans="1:13">
      <c r="A248" s="5"/>
      <c r="C248" s="7"/>
      <c r="D248" s="6"/>
      <c r="L248" s="98"/>
      <c r="M248" s="6"/>
    </row>
    <row r="249" spans="1:13">
      <c r="A249" s="5"/>
      <c r="C249" s="7"/>
      <c r="D249" s="6"/>
      <c r="L249" s="98"/>
      <c r="M249" s="6"/>
    </row>
    <row r="250" spans="1:13">
      <c r="A250" s="5"/>
      <c r="C250" s="7"/>
      <c r="D250" s="6"/>
      <c r="L250" s="98"/>
      <c r="M250" s="6"/>
    </row>
    <row r="251" spans="1:13">
      <c r="A251" s="5"/>
      <c r="C251" s="7"/>
      <c r="D251" s="6"/>
      <c r="L251" s="98"/>
      <c r="M251" s="6"/>
    </row>
    <row r="252" spans="1:13">
      <c r="A252" s="5"/>
      <c r="C252" s="7"/>
      <c r="D252" s="6"/>
      <c r="L252" s="98"/>
      <c r="M252" s="6"/>
    </row>
    <row r="253" spans="1:13">
      <c r="A253" s="5"/>
      <c r="C253" s="7"/>
      <c r="D253" s="6"/>
      <c r="L253" s="98"/>
      <c r="M253" s="6"/>
    </row>
    <row r="254" spans="1:13">
      <c r="A254" s="5"/>
      <c r="C254" s="7"/>
      <c r="D254" s="6"/>
      <c r="L254" s="98"/>
      <c r="M254" s="6"/>
    </row>
    <row r="255" spans="1:13">
      <c r="A255" s="5"/>
      <c r="C255" s="7"/>
      <c r="D255" s="6"/>
      <c r="L255" s="98"/>
      <c r="M255" s="6"/>
    </row>
    <row r="256" spans="1:13">
      <c r="A256" s="5"/>
      <c r="C256" s="7"/>
      <c r="D256" s="6"/>
      <c r="L256" s="98"/>
      <c r="M256" s="6"/>
    </row>
    <row r="257" spans="1:13">
      <c r="A257" s="5"/>
      <c r="C257" s="7"/>
      <c r="D257" s="6"/>
      <c r="L257" s="98"/>
      <c r="M257" s="6"/>
    </row>
    <row r="258" spans="1:13">
      <c r="A258" s="5"/>
      <c r="C258" s="7"/>
      <c r="D258" s="6"/>
      <c r="L258" s="98"/>
      <c r="M258" s="6"/>
    </row>
    <row r="259" spans="1:13">
      <c r="A259" s="5"/>
      <c r="C259" s="7"/>
      <c r="D259" s="6"/>
      <c r="L259" s="98"/>
      <c r="M259" s="6"/>
    </row>
    <row r="260" spans="1:13">
      <c r="A260" s="5"/>
      <c r="C260" s="7"/>
      <c r="D260" s="6"/>
      <c r="L260" s="98"/>
      <c r="M260" s="6"/>
    </row>
    <row r="261" spans="1:13">
      <c r="A261" s="5"/>
      <c r="C261" s="7"/>
      <c r="D261" s="6"/>
      <c r="L261" s="98"/>
      <c r="M261" s="6"/>
    </row>
    <row r="262" spans="1:13">
      <c r="A262" s="5"/>
      <c r="C262" s="7"/>
      <c r="D262" s="6"/>
      <c r="L262" s="98"/>
      <c r="M262" s="6"/>
    </row>
    <row r="263" spans="1:13">
      <c r="A263" s="5"/>
      <c r="C263" s="7"/>
      <c r="D263" s="6"/>
      <c r="L263" s="98"/>
      <c r="M263" s="6"/>
    </row>
    <row r="264" spans="1:13">
      <c r="A264" s="5"/>
      <c r="C264" s="7"/>
      <c r="D264" s="6"/>
      <c r="L264" s="98"/>
      <c r="M264" s="6"/>
    </row>
    <row r="265" spans="1:13">
      <c r="A265" s="5"/>
      <c r="C265" s="7"/>
      <c r="D265" s="6"/>
      <c r="L265" s="98"/>
      <c r="M265" s="6"/>
    </row>
    <row r="266" spans="1:13">
      <c r="A266" s="5"/>
      <c r="C266" s="7"/>
      <c r="D266" s="6"/>
      <c r="L266" s="98"/>
      <c r="M266" s="6"/>
    </row>
    <row r="267" spans="1:13">
      <c r="A267" s="5"/>
      <c r="C267" s="7"/>
      <c r="D267" s="6"/>
      <c r="L267" s="98"/>
      <c r="M267" s="6"/>
    </row>
    <row r="268" spans="1:13">
      <c r="A268" s="5"/>
      <c r="C268" s="7"/>
      <c r="D268" s="6"/>
      <c r="L268" s="98"/>
      <c r="M268" s="6"/>
    </row>
    <row r="269" spans="1:13">
      <c r="A269" s="5"/>
      <c r="C269" s="7"/>
      <c r="D269" s="6"/>
      <c r="L269" s="98"/>
      <c r="M269" s="6"/>
    </row>
    <row r="270" spans="1:13">
      <c r="A270" s="5"/>
      <c r="C270" s="7"/>
      <c r="D270" s="6"/>
      <c r="L270" s="98"/>
      <c r="M270" s="6"/>
    </row>
    <row r="271" spans="1:13">
      <c r="A271" s="5"/>
      <c r="C271" s="7"/>
      <c r="D271" s="6"/>
      <c r="L271" s="98"/>
      <c r="M271" s="6"/>
    </row>
    <row r="272" spans="1:13">
      <c r="A272" s="5"/>
      <c r="C272" s="7"/>
      <c r="D272" s="6"/>
      <c r="L272" s="98"/>
      <c r="M272" s="6"/>
    </row>
    <row r="273" spans="1:13">
      <c r="A273" s="5"/>
      <c r="C273" s="7"/>
      <c r="D273" s="6"/>
      <c r="L273" s="98"/>
      <c r="M273" s="6"/>
    </row>
    <row r="274" spans="1:13">
      <c r="A274" s="5"/>
      <c r="C274" s="7"/>
      <c r="D274" s="6"/>
      <c r="L274" s="98"/>
      <c r="M274" s="6"/>
    </row>
    <row r="275" spans="1:13">
      <c r="A275" s="5"/>
      <c r="C275" s="7"/>
      <c r="D275" s="6"/>
      <c r="L275" s="98"/>
      <c r="M275" s="6"/>
    </row>
    <row r="276" spans="1:13">
      <c r="A276" s="5"/>
      <c r="C276" s="7"/>
      <c r="D276" s="6"/>
      <c r="L276" s="98"/>
      <c r="M276" s="6"/>
    </row>
    <row r="277" spans="1:13">
      <c r="A277" s="5"/>
      <c r="C277" s="7"/>
      <c r="D277" s="6"/>
      <c r="L277" s="98"/>
      <c r="M277" s="6"/>
    </row>
    <row r="278" spans="1:13">
      <c r="A278" s="5"/>
      <c r="C278" s="7"/>
      <c r="D278" s="6"/>
      <c r="L278" s="98"/>
      <c r="M278" s="6"/>
    </row>
    <row r="279" spans="1:13">
      <c r="A279" s="5"/>
      <c r="C279" s="7"/>
      <c r="D279" s="6"/>
      <c r="L279" s="98"/>
      <c r="M279" s="6"/>
    </row>
    <row r="280" spans="1:13">
      <c r="A280" s="5"/>
      <c r="C280" s="7"/>
      <c r="D280" s="6"/>
      <c r="L280" s="98"/>
      <c r="M280" s="6"/>
    </row>
    <row r="281" spans="1:13">
      <c r="A281" s="5"/>
      <c r="C281" s="7"/>
      <c r="D281" s="6"/>
      <c r="L281" s="98"/>
      <c r="M281" s="6"/>
    </row>
    <row r="282" spans="1:13">
      <c r="A282" s="5"/>
      <c r="C282" s="7"/>
      <c r="D282" s="6"/>
      <c r="L282" s="98"/>
      <c r="M282" s="6"/>
    </row>
    <row r="283" spans="1:13">
      <c r="A283" s="5"/>
      <c r="C283" s="7"/>
      <c r="D283" s="6"/>
      <c r="L283" s="98"/>
      <c r="M283" s="6"/>
    </row>
    <row r="284" spans="1:13">
      <c r="A284" s="5"/>
      <c r="C284" s="7"/>
      <c r="D284" s="6"/>
      <c r="L284" s="98"/>
      <c r="M284" s="6"/>
    </row>
    <row r="285" spans="1:13">
      <c r="A285" s="5"/>
      <c r="C285" s="7"/>
      <c r="D285" s="6"/>
      <c r="L285" s="98"/>
      <c r="M285" s="6"/>
    </row>
    <row r="286" spans="1:13">
      <c r="A286" s="5"/>
      <c r="C286" s="7"/>
      <c r="D286" s="6"/>
      <c r="L286" s="98"/>
      <c r="M286" s="6"/>
    </row>
    <row r="287" spans="1:13">
      <c r="A287" s="5"/>
      <c r="C287" s="7"/>
      <c r="D287" s="6"/>
      <c r="L287" s="98"/>
      <c r="M287" s="6"/>
    </row>
    <row r="288" spans="1:13">
      <c r="A288" s="5"/>
      <c r="C288" s="7"/>
      <c r="D288" s="6"/>
      <c r="L288" s="98"/>
      <c r="M288" s="6"/>
    </row>
    <row r="289" spans="1:13">
      <c r="A289" s="5"/>
      <c r="C289" s="7"/>
      <c r="D289" s="6"/>
      <c r="L289" s="98"/>
      <c r="M289" s="6"/>
    </row>
    <row r="290" spans="1:13">
      <c r="A290" s="5"/>
      <c r="C290" s="7"/>
      <c r="D290" s="6"/>
      <c r="L290" s="98"/>
      <c r="M290" s="6"/>
    </row>
    <row r="291" spans="1:13">
      <c r="A291" s="5"/>
      <c r="C291" s="7"/>
      <c r="D291" s="6"/>
      <c r="L291" s="98"/>
      <c r="M291" s="6"/>
    </row>
    <row r="292" spans="1:13">
      <c r="A292" s="5"/>
      <c r="C292" s="7"/>
      <c r="D292" s="6"/>
      <c r="L292" s="98"/>
      <c r="M292" s="6"/>
    </row>
    <row r="293" spans="1:13">
      <c r="A293" s="5"/>
      <c r="C293" s="7"/>
      <c r="D293" s="6"/>
      <c r="L293" s="98"/>
      <c r="M293" s="6"/>
    </row>
    <row r="294" spans="1:13">
      <c r="A294" s="5"/>
      <c r="C294" s="7"/>
      <c r="D294" s="6"/>
      <c r="L294" s="98"/>
      <c r="M294" s="6"/>
    </row>
    <row r="295" spans="1:13">
      <c r="A295" s="5"/>
      <c r="C295" s="7"/>
      <c r="D295" s="6"/>
      <c r="L295" s="98"/>
      <c r="M295" s="6"/>
    </row>
    <row r="296" spans="1:13">
      <c r="A296" s="5"/>
      <c r="C296" s="7"/>
      <c r="D296" s="6"/>
      <c r="L296" s="98"/>
      <c r="M296" s="6"/>
    </row>
    <row r="297" spans="1:13">
      <c r="A297" s="5"/>
      <c r="C297" s="7"/>
      <c r="D297" s="6"/>
      <c r="L297" s="98"/>
      <c r="M297" s="6"/>
    </row>
    <row r="298" spans="1:13">
      <c r="A298" s="5"/>
      <c r="C298" s="7"/>
      <c r="D298" s="6"/>
      <c r="L298" s="98"/>
      <c r="M298" s="6"/>
    </row>
    <row r="299" spans="1:13">
      <c r="A299" s="5"/>
      <c r="C299" s="7"/>
      <c r="D299" s="6"/>
      <c r="L299" s="98"/>
      <c r="M299" s="6"/>
    </row>
    <row r="300" spans="1:13">
      <c r="A300" s="5"/>
      <c r="C300" s="7"/>
      <c r="D300" s="6"/>
      <c r="L300" s="98"/>
      <c r="M300" s="6"/>
    </row>
    <row r="301" spans="1:13">
      <c r="A301" s="5"/>
      <c r="C301" s="7"/>
      <c r="D301" s="6"/>
      <c r="L301" s="98"/>
      <c r="M301" s="6"/>
    </row>
    <row r="302" spans="1:13">
      <c r="A302" s="5"/>
      <c r="C302" s="7"/>
      <c r="D302" s="6"/>
      <c r="L302" s="98"/>
      <c r="M302" s="6"/>
    </row>
    <row r="303" spans="1:13">
      <c r="A303" s="5"/>
      <c r="C303" s="7"/>
      <c r="D303" s="6"/>
      <c r="L303" s="98"/>
      <c r="M303" s="6"/>
    </row>
    <row r="304" spans="1:13">
      <c r="A304" s="5"/>
      <c r="C304" s="7"/>
      <c r="D304" s="6"/>
      <c r="L304" s="98"/>
      <c r="M304" s="6"/>
    </row>
    <row r="305" spans="1:13">
      <c r="A305" s="5"/>
      <c r="C305" s="7"/>
      <c r="D305" s="6"/>
      <c r="L305" s="98"/>
      <c r="M305" s="6"/>
    </row>
    <row r="306" spans="1:13">
      <c r="A306" s="5"/>
      <c r="C306" s="7"/>
      <c r="D306" s="6"/>
      <c r="L306" s="98"/>
      <c r="M306" s="6"/>
    </row>
    <row r="307" spans="1:13">
      <c r="A307" s="5"/>
      <c r="C307" s="7"/>
      <c r="D307" s="6"/>
      <c r="L307" s="98"/>
      <c r="M307" s="6"/>
    </row>
    <row r="308" spans="1:13">
      <c r="A308" s="5"/>
      <c r="C308" s="7"/>
      <c r="D308" s="6"/>
      <c r="L308" s="98"/>
      <c r="M308" s="6"/>
    </row>
    <row r="309" spans="1:13">
      <c r="A309" s="5"/>
      <c r="C309" s="7"/>
      <c r="D309" s="6"/>
      <c r="L309" s="98"/>
      <c r="M309" s="6"/>
    </row>
    <row r="310" spans="1:13">
      <c r="A310" s="5"/>
      <c r="C310" s="7"/>
      <c r="D310" s="6"/>
      <c r="L310" s="98"/>
      <c r="M310" s="6"/>
    </row>
    <row r="311" spans="1:13">
      <c r="A311" s="5"/>
      <c r="C311" s="7"/>
      <c r="D311" s="6"/>
      <c r="L311" s="98"/>
      <c r="M311" s="6"/>
    </row>
    <row r="312" spans="1:13">
      <c r="A312" s="5"/>
      <c r="C312" s="7"/>
      <c r="D312" s="6"/>
      <c r="L312" s="98"/>
      <c r="M312" s="6"/>
    </row>
    <row r="313" spans="1:13">
      <c r="A313" s="5"/>
      <c r="C313" s="7"/>
      <c r="D313" s="6"/>
      <c r="L313" s="98"/>
      <c r="M313" s="6"/>
    </row>
    <row r="314" spans="1:13">
      <c r="A314" s="5"/>
      <c r="C314" s="7"/>
      <c r="D314" s="6"/>
      <c r="L314" s="98"/>
      <c r="M314" s="6"/>
    </row>
    <row r="315" spans="1:13">
      <c r="A315" s="5"/>
      <c r="C315" s="7"/>
      <c r="D315" s="6"/>
      <c r="L315" s="98"/>
      <c r="M315" s="6"/>
    </row>
    <row r="316" spans="1:13">
      <c r="A316" s="5"/>
      <c r="C316" s="7"/>
      <c r="D316" s="6"/>
      <c r="L316" s="98"/>
      <c r="M316" s="6"/>
    </row>
    <row r="317" spans="1:13">
      <c r="A317" s="5"/>
      <c r="C317" s="7"/>
      <c r="D317" s="6"/>
      <c r="L317" s="98"/>
      <c r="M317" s="6"/>
    </row>
    <row r="318" spans="1:13">
      <c r="A318" s="5"/>
      <c r="C318" s="7"/>
      <c r="D318" s="6"/>
      <c r="L318" s="98"/>
      <c r="M318" s="6"/>
    </row>
    <row r="319" spans="1:13">
      <c r="A319" s="5"/>
      <c r="C319" s="7"/>
      <c r="D319" s="6"/>
      <c r="L319" s="98"/>
      <c r="M319" s="6"/>
    </row>
    <row r="320" spans="1:13">
      <c r="A320" s="5"/>
      <c r="C320" s="7"/>
      <c r="D320" s="6"/>
      <c r="L320" s="98"/>
      <c r="M320" s="6"/>
    </row>
    <row r="321" spans="1:13">
      <c r="A321" s="5"/>
      <c r="C321" s="7"/>
      <c r="D321" s="6"/>
      <c r="L321" s="98"/>
      <c r="M321" s="6"/>
    </row>
    <row r="322" spans="1:13">
      <c r="A322" s="5"/>
      <c r="C322" s="7"/>
      <c r="D322" s="6"/>
      <c r="L322" s="98"/>
      <c r="M322" s="6"/>
    </row>
    <row r="323" spans="1:13">
      <c r="A323" s="5"/>
      <c r="C323" s="7"/>
      <c r="D323" s="6"/>
      <c r="L323" s="98"/>
      <c r="M323" s="6"/>
    </row>
    <row r="324" spans="1:13">
      <c r="A324" s="5"/>
      <c r="C324" s="7"/>
      <c r="D324" s="6"/>
      <c r="L324" s="98"/>
      <c r="M324" s="6"/>
    </row>
    <row r="325" spans="1:13">
      <c r="A325" s="5"/>
      <c r="C325" s="7"/>
      <c r="D325" s="6"/>
      <c r="L325" s="98"/>
      <c r="M325" s="6"/>
    </row>
    <row r="326" spans="1:13">
      <c r="A326" s="5"/>
      <c r="C326" s="7"/>
      <c r="D326" s="6"/>
      <c r="L326" s="98"/>
      <c r="M326" s="6"/>
    </row>
    <row r="327" spans="1:13">
      <c r="A327" s="5"/>
      <c r="C327" s="7"/>
      <c r="D327" s="6"/>
      <c r="L327" s="98"/>
      <c r="M327" s="6"/>
    </row>
    <row r="328" spans="1:13">
      <c r="A328" s="5"/>
      <c r="C328" s="7"/>
      <c r="D328" s="6"/>
      <c r="L328" s="98"/>
      <c r="M328" s="6"/>
    </row>
    <row r="329" spans="1:13">
      <c r="A329" s="5"/>
      <c r="C329" s="7"/>
      <c r="D329" s="6"/>
      <c r="L329" s="98"/>
      <c r="M329" s="6"/>
    </row>
    <row r="330" spans="1:13">
      <c r="A330" s="5"/>
      <c r="C330" s="7"/>
      <c r="D330" s="6"/>
      <c r="L330" s="98"/>
      <c r="M330" s="6"/>
    </row>
    <row r="331" spans="1:13">
      <c r="A331" s="5"/>
      <c r="C331" s="7"/>
      <c r="D331" s="6"/>
      <c r="L331" s="98"/>
      <c r="M331" s="6"/>
    </row>
    <row r="332" spans="1:13">
      <c r="A332" s="5"/>
      <c r="C332" s="7"/>
      <c r="D332" s="6"/>
      <c r="L332" s="98"/>
      <c r="M332" s="6"/>
    </row>
    <row r="333" spans="1:13">
      <c r="A333" s="5"/>
      <c r="C333" s="7"/>
      <c r="D333" s="6"/>
      <c r="L333" s="98"/>
      <c r="M333" s="6"/>
    </row>
    <row r="334" spans="1:13">
      <c r="A334" s="5"/>
      <c r="C334" s="7"/>
      <c r="D334" s="6"/>
      <c r="L334" s="98"/>
      <c r="M334" s="6"/>
    </row>
    <row r="335" spans="1:13">
      <c r="A335" s="5"/>
      <c r="C335" s="7"/>
      <c r="D335" s="6"/>
      <c r="L335" s="98"/>
      <c r="M335" s="6"/>
    </row>
    <row r="336" spans="1:13">
      <c r="A336" s="5"/>
      <c r="C336" s="7"/>
      <c r="D336" s="6"/>
      <c r="L336" s="98"/>
      <c r="M336" s="6"/>
    </row>
    <row r="337" spans="1:13">
      <c r="A337" s="5"/>
      <c r="C337" s="7"/>
      <c r="D337" s="6"/>
      <c r="L337" s="98"/>
      <c r="M337" s="6"/>
    </row>
    <row r="338" spans="1:13">
      <c r="A338" s="5"/>
      <c r="C338" s="7"/>
      <c r="D338" s="6"/>
      <c r="L338" s="98"/>
      <c r="M338" s="6"/>
    </row>
    <row r="339" spans="1:13">
      <c r="A339" s="5"/>
      <c r="C339" s="7"/>
      <c r="D339" s="6"/>
      <c r="L339" s="98"/>
      <c r="M339" s="6"/>
    </row>
    <row r="340" spans="1:13">
      <c r="A340" s="5"/>
      <c r="C340" s="7"/>
      <c r="D340" s="6"/>
      <c r="L340" s="98"/>
      <c r="M340" s="6"/>
    </row>
    <row r="341" spans="1:13">
      <c r="A341" s="5"/>
      <c r="C341" s="7"/>
      <c r="D341" s="6"/>
      <c r="L341" s="98"/>
      <c r="M341" s="6"/>
    </row>
    <row r="342" spans="1:13">
      <c r="A342" s="5"/>
      <c r="C342" s="7"/>
      <c r="D342" s="6"/>
      <c r="L342" s="98"/>
      <c r="M342" s="6"/>
    </row>
    <row r="343" spans="1:13">
      <c r="A343" s="5"/>
      <c r="C343" s="7"/>
      <c r="D343" s="6"/>
      <c r="L343" s="98"/>
      <c r="M343" s="6"/>
    </row>
    <row r="344" spans="1:13">
      <c r="A344" s="5"/>
      <c r="C344" s="7"/>
      <c r="D344" s="6"/>
      <c r="L344" s="98"/>
      <c r="M344" s="6"/>
    </row>
    <row r="345" spans="1:13">
      <c r="A345" s="5"/>
      <c r="C345" s="7"/>
      <c r="D345" s="6"/>
      <c r="L345" s="98"/>
      <c r="M345" s="6"/>
    </row>
    <row r="346" spans="1:13">
      <c r="A346" s="5"/>
      <c r="C346" s="7"/>
      <c r="D346" s="6"/>
      <c r="L346" s="98"/>
      <c r="M346" s="6"/>
    </row>
    <row r="347" spans="1:13">
      <c r="A347" s="5"/>
      <c r="C347" s="7"/>
      <c r="D347" s="6"/>
      <c r="L347" s="98"/>
      <c r="M347" s="6"/>
    </row>
    <row r="348" spans="1:13">
      <c r="A348" s="5"/>
      <c r="C348" s="7"/>
      <c r="D348" s="6"/>
      <c r="L348" s="98"/>
      <c r="M348" s="6"/>
    </row>
    <row r="349" spans="1:13">
      <c r="A349" s="5"/>
      <c r="C349" s="7"/>
      <c r="D349" s="6"/>
      <c r="L349" s="98"/>
      <c r="M349" s="6"/>
    </row>
    <row r="350" spans="1:13">
      <c r="A350" s="5"/>
      <c r="C350" s="7"/>
      <c r="D350" s="6"/>
      <c r="L350" s="98"/>
      <c r="M350" s="6"/>
    </row>
    <row r="351" spans="1:13">
      <c r="A351" s="5"/>
      <c r="C351" s="7"/>
      <c r="D351" s="6"/>
      <c r="L351" s="98"/>
      <c r="M351" s="6"/>
    </row>
    <row r="352" spans="1:13">
      <c r="A352" s="5"/>
      <c r="C352" s="7"/>
      <c r="D352" s="6"/>
      <c r="L352" s="98"/>
      <c r="M352" s="6"/>
    </row>
    <row r="353" spans="1:13">
      <c r="A353" s="5"/>
      <c r="C353" s="7"/>
      <c r="D353" s="6"/>
      <c r="L353" s="98"/>
      <c r="M353" s="6"/>
    </row>
    <row r="354" spans="1:13">
      <c r="A354" s="5"/>
      <c r="C354" s="7"/>
      <c r="D354" s="6"/>
      <c r="L354" s="98"/>
      <c r="M354" s="6"/>
    </row>
    <row r="355" spans="1:13">
      <c r="A355" s="5"/>
      <c r="C355" s="7"/>
      <c r="D355" s="6"/>
      <c r="L355" s="98"/>
      <c r="M355" s="6"/>
    </row>
    <row r="356" spans="1:13">
      <c r="A356" s="5"/>
      <c r="C356" s="7"/>
      <c r="D356" s="6"/>
      <c r="L356" s="98"/>
      <c r="M356" s="6"/>
    </row>
    <row r="357" spans="1:13">
      <c r="A357" s="5"/>
      <c r="C357" s="7"/>
      <c r="D357" s="6"/>
      <c r="L357" s="98"/>
      <c r="M357" s="6"/>
    </row>
    <row r="358" spans="1:13">
      <c r="A358" s="5"/>
      <c r="C358" s="7"/>
      <c r="D358" s="6"/>
      <c r="L358" s="98"/>
      <c r="M358" s="6"/>
    </row>
    <row r="359" spans="1:13">
      <c r="A359" s="5"/>
      <c r="C359" s="7"/>
      <c r="D359" s="6"/>
      <c r="L359" s="98"/>
      <c r="M359" s="6"/>
    </row>
    <row r="360" spans="1:13">
      <c r="A360" s="5"/>
      <c r="C360" s="7"/>
      <c r="D360" s="6"/>
      <c r="L360" s="98"/>
      <c r="M360" s="6"/>
    </row>
    <row r="361" spans="1:13">
      <c r="A361" s="5"/>
      <c r="C361" s="7"/>
      <c r="D361" s="6"/>
      <c r="L361" s="98"/>
      <c r="M361" s="6"/>
    </row>
    <row r="362" spans="1:13">
      <c r="A362" s="5"/>
      <c r="C362" s="7"/>
      <c r="D362" s="6"/>
      <c r="L362" s="98"/>
      <c r="M362" s="6"/>
    </row>
    <row r="363" spans="1:13">
      <c r="A363" s="5"/>
      <c r="C363" s="7"/>
      <c r="D363" s="6"/>
      <c r="L363" s="98"/>
      <c r="M363" s="6"/>
    </row>
    <row r="364" spans="1:13">
      <c r="A364" s="5"/>
      <c r="C364" s="7"/>
      <c r="D364" s="6"/>
      <c r="L364" s="98"/>
      <c r="M364" s="6"/>
    </row>
    <row r="365" spans="1:13">
      <c r="A365" s="5"/>
      <c r="C365" s="7"/>
      <c r="D365" s="6"/>
      <c r="L365" s="98"/>
      <c r="M365" s="6"/>
    </row>
    <row r="366" spans="1:13">
      <c r="A366" s="5"/>
      <c r="C366" s="7"/>
      <c r="D366" s="6"/>
      <c r="L366" s="98"/>
      <c r="M366" s="6"/>
    </row>
    <row r="367" spans="1:13">
      <c r="A367" s="5"/>
      <c r="C367" s="7"/>
      <c r="D367" s="6"/>
      <c r="L367" s="98"/>
      <c r="M367" s="6"/>
    </row>
    <row r="368" spans="1:13">
      <c r="A368" s="5"/>
      <c r="C368" s="7"/>
      <c r="D368" s="6"/>
      <c r="L368" s="98"/>
      <c r="M368" s="6"/>
    </row>
    <row r="369" spans="1:13">
      <c r="A369" s="5"/>
      <c r="C369" s="7"/>
      <c r="D369" s="6"/>
      <c r="L369" s="98"/>
      <c r="M369" s="6"/>
    </row>
    <row r="370" spans="1:13">
      <c r="A370" s="5"/>
      <c r="C370" s="7"/>
      <c r="D370" s="6"/>
      <c r="L370" s="98"/>
      <c r="M370" s="6"/>
    </row>
    <row r="371" spans="1:13">
      <c r="A371" s="5"/>
      <c r="C371" s="7"/>
      <c r="D371" s="6"/>
      <c r="L371" s="98"/>
      <c r="M371" s="6"/>
    </row>
    <row r="372" spans="1:13">
      <c r="A372" s="5"/>
      <c r="C372" s="7"/>
      <c r="D372" s="6"/>
      <c r="L372" s="98"/>
      <c r="M372" s="6"/>
    </row>
    <row r="373" spans="1:13">
      <c r="A373" s="5"/>
      <c r="C373" s="7"/>
      <c r="D373" s="6"/>
      <c r="L373" s="98"/>
      <c r="M373" s="6"/>
    </row>
    <row r="374" spans="1:13">
      <c r="A374" s="5"/>
      <c r="C374" s="7"/>
      <c r="D374" s="6"/>
      <c r="L374" s="98"/>
      <c r="M374" s="6"/>
    </row>
    <row r="375" spans="1:13">
      <c r="A375" s="5"/>
      <c r="C375" s="7"/>
      <c r="D375" s="6"/>
      <c r="L375" s="98"/>
      <c r="M375" s="6"/>
    </row>
    <row r="376" spans="1:13">
      <c r="A376" s="5"/>
      <c r="C376" s="7"/>
      <c r="D376" s="6"/>
      <c r="L376" s="98"/>
      <c r="M376" s="6"/>
    </row>
    <row r="377" spans="1:13">
      <c r="A377" s="5"/>
      <c r="C377" s="7"/>
      <c r="D377" s="6"/>
      <c r="L377" s="98"/>
      <c r="M377" s="6"/>
    </row>
    <row r="378" spans="1:13">
      <c r="A378" s="5"/>
      <c r="C378" s="7"/>
      <c r="D378" s="6"/>
      <c r="L378" s="98"/>
      <c r="M378" s="6"/>
    </row>
    <row r="379" spans="1:13">
      <c r="A379" s="5"/>
      <c r="C379" s="7"/>
      <c r="D379" s="6"/>
      <c r="L379" s="98"/>
      <c r="M379" s="6"/>
    </row>
    <row r="380" spans="1:13">
      <c r="A380" s="5"/>
      <c r="C380" s="7"/>
      <c r="D380" s="6"/>
      <c r="L380" s="98"/>
      <c r="M380" s="6"/>
    </row>
    <row r="381" spans="1:13">
      <c r="A381" s="5"/>
      <c r="C381" s="7"/>
      <c r="D381" s="6"/>
      <c r="L381" s="98"/>
      <c r="M381" s="6"/>
    </row>
    <row r="382" spans="1:13">
      <c r="A382" s="5"/>
      <c r="C382" s="7"/>
      <c r="D382" s="6"/>
      <c r="L382" s="98"/>
      <c r="M382" s="6"/>
    </row>
    <row r="383" spans="1:13">
      <c r="A383" s="5"/>
      <c r="C383" s="7"/>
      <c r="D383" s="6"/>
      <c r="L383" s="98"/>
      <c r="M383" s="6"/>
    </row>
    <row r="384" spans="1:13">
      <c r="A384" s="5"/>
      <c r="C384" s="7"/>
      <c r="D384" s="6"/>
      <c r="L384" s="98"/>
      <c r="M384" s="6"/>
    </row>
    <row r="385" spans="1:13">
      <c r="A385" s="5"/>
      <c r="C385" s="7"/>
      <c r="D385" s="6"/>
      <c r="L385" s="98"/>
      <c r="M385" s="6"/>
    </row>
    <row r="386" spans="1:13">
      <c r="A386" s="5"/>
      <c r="C386" s="7"/>
      <c r="D386" s="6"/>
      <c r="L386" s="98"/>
      <c r="M386" s="6"/>
    </row>
    <row r="387" spans="1:13">
      <c r="A387" s="5"/>
      <c r="C387" s="7"/>
      <c r="D387" s="6"/>
      <c r="L387" s="98"/>
      <c r="M387" s="6"/>
    </row>
    <row r="388" spans="1:13">
      <c r="A388" s="5"/>
      <c r="C388" s="7"/>
      <c r="D388" s="6"/>
      <c r="L388" s="98"/>
      <c r="M388" s="6"/>
    </row>
    <row r="389" spans="1:13">
      <c r="A389" s="5"/>
      <c r="C389" s="7"/>
      <c r="D389" s="6"/>
      <c r="L389" s="98"/>
      <c r="M389" s="6"/>
    </row>
    <row r="390" spans="1:13">
      <c r="A390" s="5"/>
      <c r="C390" s="7"/>
      <c r="D390" s="6"/>
      <c r="L390" s="98"/>
      <c r="M390" s="6"/>
    </row>
    <row r="391" spans="1:13">
      <c r="A391" s="5"/>
      <c r="C391" s="7"/>
      <c r="D391" s="6"/>
      <c r="L391" s="98"/>
      <c r="M391" s="6"/>
    </row>
    <row r="392" spans="1:13">
      <c r="A392" s="5"/>
      <c r="C392" s="7"/>
      <c r="D392" s="6"/>
      <c r="L392" s="98"/>
      <c r="M392" s="6"/>
    </row>
    <row r="393" spans="1:13">
      <c r="A393" s="5"/>
      <c r="C393" s="7"/>
      <c r="D393" s="6"/>
      <c r="L393" s="98"/>
      <c r="M393" s="6"/>
    </row>
    <row r="394" spans="1:13">
      <c r="A394" s="5"/>
      <c r="C394" s="7"/>
      <c r="D394" s="6"/>
      <c r="L394" s="98"/>
      <c r="M394" s="6"/>
    </row>
    <row r="395" spans="1:13">
      <c r="A395" s="5"/>
      <c r="C395" s="7"/>
      <c r="D395" s="6"/>
      <c r="L395" s="98"/>
      <c r="M395" s="6"/>
    </row>
    <row r="396" spans="1:13">
      <c r="A396" s="5"/>
      <c r="C396" s="7"/>
      <c r="D396" s="6"/>
      <c r="L396" s="98"/>
      <c r="M396" s="6"/>
    </row>
    <row r="397" spans="1:13">
      <c r="A397" s="5"/>
      <c r="C397" s="7"/>
      <c r="D397" s="6"/>
      <c r="L397" s="98"/>
      <c r="M397" s="6"/>
    </row>
    <row r="398" spans="1:13">
      <c r="A398" s="5"/>
      <c r="C398" s="7"/>
      <c r="D398" s="6"/>
      <c r="L398" s="98"/>
      <c r="M398" s="6"/>
    </row>
    <row r="399" spans="1:13">
      <c r="A399" s="5"/>
      <c r="C399" s="7"/>
      <c r="D399" s="6"/>
      <c r="L399" s="98"/>
      <c r="M399" s="6"/>
    </row>
    <row r="400" spans="1:13">
      <c r="A400" s="5"/>
      <c r="C400" s="7"/>
      <c r="D400" s="6"/>
      <c r="L400" s="98"/>
      <c r="M400" s="6"/>
    </row>
    <row r="401" spans="1:13">
      <c r="A401" s="5"/>
      <c r="C401" s="7"/>
      <c r="D401" s="6"/>
      <c r="L401" s="98"/>
      <c r="M401" s="6"/>
    </row>
    <row r="402" spans="1:13">
      <c r="A402" s="5"/>
      <c r="C402" s="7"/>
      <c r="D402" s="6"/>
      <c r="L402" s="98"/>
      <c r="M402" s="6"/>
    </row>
    <row r="403" spans="1:13">
      <c r="A403" s="5"/>
      <c r="C403" s="7"/>
      <c r="D403" s="6"/>
      <c r="L403" s="98"/>
      <c r="M403" s="6"/>
    </row>
    <row r="404" spans="1:13">
      <c r="A404" s="5"/>
      <c r="C404" s="7"/>
      <c r="D404" s="6"/>
      <c r="L404" s="98"/>
      <c r="M404" s="6"/>
    </row>
    <row r="405" spans="1:13">
      <c r="A405" s="5"/>
      <c r="C405" s="7"/>
      <c r="D405" s="6"/>
      <c r="L405" s="98"/>
      <c r="M405" s="6"/>
    </row>
    <row r="406" spans="1:13">
      <c r="A406" s="5"/>
      <c r="C406" s="7"/>
      <c r="D406" s="6"/>
      <c r="L406" s="98"/>
      <c r="M406" s="6"/>
    </row>
    <row r="407" spans="1:13">
      <c r="A407" s="5"/>
      <c r="C407" s="7"/>
      <c r="D407" s="6"/>
      <c r="L407" s="98"/>
      <c r="M407" s="6"/>
    </row>
    <row r="408" spans="1:13">
      <c r="A408" s="5"/>
      <c r="C408" s="7"/>
      <c r="D408" s="6"/>
      <c r="L408" s="98"/>
      <c r="M408" s="6"/>
    </row>
    <row r="409" spans="1:13">
      <c r="A409" s="5"/>
      <c r="C409" s="7"/>
      <c r="D409" s="6"/>
      <c r="L409" s="98"/>
      <c r="M409" s="6"/>
    </row>
    <row r="410" spans="1:13">
      <c r="A410" s="5"/>
      <c r="C410" s="7"/>
      <c r="D410" s="6"/>
      <c r="L410" s="98"/>
      <c r="M410" s="6"/>
    </row>
    <row r="411" spans="1:13">
      <c r="A411" s="5"/>
      <c r="C411" s="7"/>
      <c r="D411" s="6"/>
      <c r="L411" s="98"/>
      <c r="M411" s="6"/>
    </row>
    <row r="412" spans="1:13">
      <c r="A412" s="5"/>
      <c r="C412" s="7"/>
      <c r="D412" s="6"/>
      <c r="L412" s="98"/>
      <c r="M412" s="6"/>
    </row>
    <row r="413" spans="1:13">
      <c r="A413" s="5"/>
      <c r="C413" s="7"/>
      <c r="D413" s="6"/>
      <c r="L413" s="98"/>
      <c r="M413" s="6"/>
    </row>
    <row r="414" spans="1:13">
      <c r="A414" s="5"/>
      <c r="C414" s="7"/>
      <c r="D414" s="6"/>
      <c r="L414" s="98"/>
      <c r="M414" s="6"/>
    </row>
    <row r="415" spans="1:13">
      <c r="A415" s="5"/>
      <c r="C415" s="7"/>
      <c r="D415" s="6"/>
      <c r="L415" s="98"/>
      <c r="M415" s="6"/>
    </row>
    <row r="416" spans="1:13">
      <c r="A416" s="5"/>
      <c r="C416" s="7"/>
      <c r="D416" s="6"/>
      <c r="L416" s="98"/>
      <c r="M416" s="6"/>
    </row>
    <row r="417" spans="1:13">
      <c r="A417" s="5"/>
      <c r="C417" s="7"/>
      <c r="D417" s="6"/>
      <c r="L417" s="98"/>
      <c r="M417" s="6"/>
    </row>
    <row r="418" spans="1:13">
      <c r="A418" s="5"/>
      <c r="C418" s="7"/>
      <c r="D418" s="6"/>
      <c r="L418" s="98"/>
      <c r="M418" s="6"/>
    </row>
    <row r="419" spans="1:13">
      <c r="A419" s="5"/>
      <c r="C419" s="7"/>
      <c r="D419" s="6"/>
      <c r="L419" s="98"/>
      <c r="M419" s="6"/>
    </row>
    <row r="420" spans="1:13">
      <c r="A420" s="5"/>
      <c r="C420" s="7"/>
      <c r="D420" s="6"/>
      <c r="L420" s="98"/>
      <c r="M420" s="6"/>
    </row>
    <row r="421" spans="1:13">
      <c r="A421" s="5"/>
      <c r="C421" s="7"/>
      <c r="D421" s="6"/>
      <c r="L421" s="98"/>
      <c r="M421" s="6"/>
    </row>
    <row r="422" spans="1:13">
      <c r="A422" s="5"/>
      <c r="C422" s="7"/>
      <c r="D422" s="6"/>
      <c r="L422" s="98"/>
      <c r="M422" s="6"/>
    </row>
    <row r="423" spans="1:13">
      <c r="A423" s="5"/>
      <c r="C423" s="7"/>
      <c r="D423" s="6"/>
      <c r="L423" s="98"/>
      <c r="M423" s="6"/>
    </row>
    <row r="424" spans="1:13">
      <c r="A424" s="5"/>
      <c r="C424" s="7"/>
      <c r="D424" s="6"/>
      <c r="L424" s="98"/>
      <c r="M424" s="6"/>
    </row>
    <row r="425" spans="1:13">
      <c r="A425" s="5"/>
      <c r="C425" s="7"/>
      <c r="D425" s="6"/>
      <c r="L425" s="98"/>
      <c r="M425" s="6"/>
    </row>
    <row r="426" spans="1:13">
      <c r="A426" s="5"/>
      <c r="C426" s="7"/>
      <c r="D426" s="6"/>
      <c r="L426" s="98"/>
      <c r="M426" s="6"/>
    </row>
    <row r="427" spans="1:13">
      <c r="A427" s="5"/>
      <c r="C427" s="7"/>
      <c r="D427" s="6"/>
      <c r="L427" s="98"/>
      <c r="M427" s="6"/>
    </row>
    <row r="428" spans="1:13">
      <c r="A428" s="5"/>
      <c r="C428" s="7"/>
      <c r="D428" s="6"/>
      <c r="L428" s="98"/>
      <c r="M428" s="6"/>
    </row>
    <row r="429" spans="1:13">
      <c r="A429" s="5"/>
      <c r="C429" s="7"/>
      <c r="D429" s="6"/>
      <c r="L429" s="98"/>
      <c r="M429" s="6"/>
    </row>
    <row r="430" spans="1:13">
      <c r="A430" s="5"/>
      <c r="C430" s="7"/>
      <c r="D430" s="6"/>
      <c r="L430" s="98"/>
      <c r="M430" s="6"/>
    </row>
    <row r="431" spans="1:13">
      <c r="A431" s="5"/>
      <c r="C431" s="7"/>
      <c r="D431" s="6"/>
      <c r="L431" s="98"/>
      <c r="M431" s="6"/>
    </row>
    <row r="432" spans="1:13">
      <c r="A432" s="5"/>
      <c r="C432" s="7"/>
      <c r="D432" s="6"/>
      <c r="L432" s="98"/>
      <c r="M432" s="6"/>
    </row>
    <row r="433" spans="1:13">
      <c r="A433" s="5"/>
      <c r="C433" s="7"/>
      <c r="D433" s="6"/>
      <c r="L433" s="98"/>
      <c r="M433" s="6"/>
    </row>
    <row r="434" spans="1:13">
      <c r="A434" s="5"/>
      <c r="C434" s="7"/>
      <c r="D434" s="6"/>
      <c r="L434" s="98"/>
      <c r="M434" s="6"/>
    </row>
    <row r="435" spans="1:13">
      <c r="A435" s="5"/>
      <c r="C435" s="7"/>
      <c r="D435" s="6"/>
      <c r="L435" s="98"/>
      <c r="M435" s="6"/>
    </row>
    <row r="436" spans="1:13">
      <c r="A436" s="5"/>
      <c r="C436" s="7"/>
      <c r="D436" s="6"/>
      <c r="L436" s="98"/>
      <c r="M436" s="6"/>
    </row>
    <row r="437" spans="1:13">
      <c r="A437" s="5"/>
      <c r="C437" s="7"/>
      <c r="D437" s="6"/>
      <c r="L437" s="98"/>
      <c r="M437" s="6"/>
    </row>
    <row r="438" spans="1:13">
      <c r="A438" s="5"/>
      <c r="C438" s="7"/>
      <c r="D438" s="6"/>
      <c r="L438" s="98"/>
      <c r="M438" s="6"/>
    </row>
    <row r="439" spans="1:13">
      <c r="A439" s="5"/>
      <c r="C439" s="7"/>
      <c r="D439" s="6"/>
      <c r="L439" s="98"/>
      <c r="M439" s="6"/>
    </row>
    <row r="440" spans="1:13">
      <c r="A440" s="5"/>
      <c r="C440" s="7"/>
      <c r="D440" s="6"/>
      <c r="L440" s="98"/>
      <c r="M440" s="6"/>
    </row>
    <row r="441" spans="1:13">
      <c r="A441" s="5"/>
      <c r="C441" s="7"/>
      <c r="D441" s="6"/>
      <c r="L441" s="98"/>
      <c r="M441" s="6"/>
    </row>
    <row r="442" spans="1:13">
      <c r="A442" s="5"/>
      <c r="C442" s="7"/>
      <c r="D442" s="6"/>
      <c r="L442" s="98"/>
      <c r="M442" s="6"/>
    </row>
    <row r="443" spans="1:13">
      <c r="A443" s="5"/>
      <c r="C443" s="7"/>
      <c r="D443" s="6"/>
      <c r="L443" s="98"/>
      <c r="M443" s="6"/>
    </row>
    <row r="444" spans="1:13">
      <c r="A444" s="5"/>
      <c r="C444" s="7"/>
      <c r="D444" s="6"/>
      <c r="L444" s="98"/>
      <c r="M444" s="6"/>
    </row>
    <row r="445" spans="1:13">
      <c r="A445" s="5"/>
      <c r="C445" s="7"/>
      <c r="D445" s="6"/>
      <c r="L445" s="98"/>
      <c r="M445" s="6"/>
    </row>
    <row r="446" spans="1:13">
      <c r="A446" s="5"/>
      <c r="C446" s="7"/>
      <c r="D446" s="6"/>
      <c r="L446" s="98"/>
      <c r="M446" s="6"/>
    </row>
    <row r="447" spans="1:13">
      <c r="A447" s="5"/>
      <c r="C447" s="7"/>
      <c r="D447" s="6"/>
      <c r="L447" s="98"/>
      <c r="M447" s="6"/>
    </row>
    <row r="448" spans="1:13">
      <c r="A448" s="5"/>
      <c r="C448" s="7"/>
      <c r="D448" s="6"/>
      <c r="L448" s="98"/>
      <c r="M448" s="6"/>
    </row>
    <row r="449" spans="1:13">
      <c r="A449" s="5"/>
      <c r="C449" s="7"/>
      <c r="D449" s="6"/>
      <c r="L449" s="98"/>
      <c r="M449" s="6"/>
    </row>
    <row r="450" spans="1:13">
      <c r="A450" s="5"/>
      <c r="C450" s="7"/>
      <c r="D450" s="6"/>
      <c r="L450" s="98"/>
      <c r="M450" s="6"/>
    </row>
    <row r="451" spans="1:13">
      <c r="A451" s="5"/>
      <c r="C451" s="7"/>
      <c r="D451" s="6"/>
      <c r="L451" s="98"/>
      <c r="M451" s="6"/>
    </row>
    <row r="452" spans="1:13">
      <c r="A452" s="5"/>
      <c r="C452" s="7"/>
      <c r="D452" s="6"/>
      <c r="L452" s="98"/>
      <c r="M452" s="6"/>
    </row>
    <row r="453" spans="1:13">
      <c r="A453" s="5"/>
      <c r="C453" s="7"/>
      <c r="D453" s="6"/>
      <c r="L453" s="98"/>
      <c r="M453" s="6"/>
    </row>
    <row r="454" spans="1:13">
      <c r="A454" s="5"/>
      <c r="C454" s="7"/>
      <c r="D454" s="6"/>
      <c r="L454" s="98"/>
      <c r="M454" s="6"/>
    </row>
    <row r="455" spans="1:13">
      <c r="A455" s="5"/>
      <c r="C455" s="7"/>
      <c r="D455" s="6"/>
      <c r="L455" s="98"/>
      <c r="M455" s="6"/>
    </row>
    <row r="456" spans="1:13">
      <c r="A456" s="5"/>
      <c r="C456" s="7"/>
      <c r="D456" s="6"/>
      <c r="L456" s="98"/>
      <c r="M456" s="6"/>
    </row>
    <row r="457" spans="1:13">
      <c r="A457" s="5"/>
      <c r="C457" s="7"/>
      <c r="D457" s="6"/>
      <c r="L457" s="98"/>
      <c r="M457" s="6"/>
    </row>
    <row r="458" spans="1:13">
      <c r="A458" s="5"/>
      <c r="C458" s="7"/>
      <c r="D458" s="6"/>
      <c r="L458" s="98"/>
      <c r="M458" s="6"/>
    </row>
    <row r="459" spans="1:13">
      <c r="A459" s="5"/>
      <c r="C459" s="7"/>
      <c r="D459" s="6"/>
      <c r="L459" s="98"/>
      <c r="M459" s="6"/>
    </row>
    <row r="460" spans="1:13">
      <c r="A460" s="5"/>
      <c r="C460" s="7"/>
      <c r="D460" s="6"/>
      <c r="L460" s="98"/>
      <c r="M460" s="6"/>
    </row>
    <row r="461" spans="1:13">
      <c r="A461" s="5"/>
      <c r="C461" s="7"/>
      <c r="D461" s="6"/>
      <c r="L461" s="98"/>
      <c r="M461" s="6"/>
    </row>
    <row r="462" spans="1:13">
      <c r="A462" s="5"/>
      <c r="C462" s="7"/>
      <c r="D462" s="6"/>
      <c r="L462" s="98"/>
      <c r="M462" s="6"/>
    </row>
    <row r="463" spans="1:13">
      <c r="A463" s="5"/>
      <c r="C463" s="7"/>
      <c r="D463" s="6"/>
      <c r="L463" s="98"/>
      <c r="M463" s="6"/>
    </row>
    <row r="464" spans="1:13">
      <c r="A464" s="5"/>
      <c r="C464" s="7"/>
      <c r="D464" s="6"/>
      <c r="L464" s="98"/>
      <c r="M464" s="6"/>
    </row>
    <row r="465" spans="1:13">
      <c r="A465" s="5"/>
      <c r="C465" s="7"/>
      <c r="D465" s="6"/>
      <c r="L465" s="98"/>
      <c r="M465" s="6"/>
    </row>
    <row r="466" spans="1:13">
      <c r="A466" s="5"/>
      <c r="C466" s="7"/>
      <c r="D466" s="6"/>
      <c r="L466" s="98"/>
      <c r="M466" s="6"/>
    </row>
    <row r="467" spans="1:13">
      <c r="A467" s="5"/>
      <c r="C467" s="7"/>
      <c r="D467" s="6"/>
      <c r="L467" s="98"/>
      <c r="M467" s="6"/>
    </row>
    <row r="468" spans="1:13">
      <c r="A468" s="5"/>
      <c r="C468" s="7"/>
      <c r="D468" s="6"/>
      <c r="L468" s="98"/>
      <c r="M468" s="6"/>
    </row>
    <row r="469" spans="1:13">
      <c r="A469" s="5"/>
      <c r="C469" s="7"/>
      <c r="D469" s="6"/>
      <c r="L469" s="98"/>
      <c r="M469" s="6"/>
    </row>
    <row r="470" spans="1:13">
      <c r="A470" s="5"/>
      <c r="C470" s="7"/>
      <c r="D470" s="6"/>
      <c r="L470" s="98"/>
      <c r="M470" s="6"/>
    </row>
    <row r="471" spans="1:13">
      <c r="A471" s="5"/>
      <c r="C471" s="7"/>
      <c r="D471" s="6"/>
      <c r="L471" s="98"/>
      <c r="M471" s="6"/>
    </row>
    <row r="472" spans="1:13">
      <c r="A472" s="5"/>
      <c r="C472" s="7"/>
      <c r="D472" s="6"/>
      <c r="L472" s="98"/>
      <c r="M472" s="6"/>
    </row>
    <row r="473" spans="1:13">
      <c r="A473" s="5"/>
      <c r="C473" s="7"/>
      <c r="D473" s="6"/>
      <c r="L473" s="98"/>
      <c r="M473" s="6"/>
    </row>
    <row r="474" spans="1:13">
      <c r="A474" s="5"/>
      <c r="C474" s="7"/>
      <c r="D474" s="6"/>
      <c r="L474" s="98"/>
      <c r="M474" s="6"/>
    </row>
    <row r="475" spans="1:13">
      <c r="A475" s="5"/>
      <c r="C475" s="7"/>
      <c r="D475" s="6"/>
      <c r="L475" s="98"/>
      <c r="M475" s="6"/>
    </row>
    <row r="476" spans="1:13">
      <c r="A476" s="5"/>
      <c r="C476" s="7"/>
      <c r="D476" s="6"/>
      <c r="L476" s="98"/>
      <c r="M476" s="6"/>
    </row>
    <row r="477" spans="1:13">
      <c r="A477" s="5"/>
      <c r="C477" s="7"/>
      <c r="D477" s="6"/>
      <c r="L477" s="98"/>
      <c r="M477" s="6"/>
    </row>
    <row r="478" spans="1:13">
      <c r="A478" s="5"/>
      <c r="C478" s="7"/>
      <c r="D478" s="6"/>
      <c r="L478" s="98"/>
      <c r="M478" s="6"/>
    </row>
    <row r="479" spans="1:13">
      <c r="A479" s="5"/>
      <c r="C479" s="7"/>
      <c r="D479" s="6"/>
      <c r="L479" s="98"/>
      <c r="M479" s="6"/>
    </row>
    <row r="480" spans="1:13">
      <c r="A480" s="5"/>
      <c r="C480" s="7"/>
      <c r="D480" s="6"/>
      <c r="L480" s="98"/>
      <c r="M480" s="6"/>
    </row>
    <row r="481" spans="1:13">
      <c r="A481" s="5"/>
      <c r="C481" s="7"/>
      <c r="D481" s="6"/>
      <c r="L481" s="98"/>
      <c r="M481" s="6"/>
    </row>
    <row r="482" spans="1:13">
      <c r="A482" s="5"/>
      <c r="C482" s="7"/>
      <c r="D482" s="6"/>
      <c r="L482" s="98"/>
      <c r="M482" s="6"/>
    </row>
    <row r="483" spans="1:13">
      <c r="A483" s="5"/>
      <c r="C483" s="7"/>
      <c r="D483" s="6"/>
      <c r="L483" s="98"/>
      <c r="M483" s="6"/>
    </row>
    <row r="484" spans="1:13">
      <c r="A484" s="5"/>
      <c r="C484" s="7"/>
      <c r="D484" s="6"/>
      <c r="L484" s="98"/>
      <c r="M484" s="6"/>
    </row>
    <row r="485" spans="1:13">
      <c r="A485" s="5"/>
      <c r="C485" s="7"/>
      <c r="D485" s="6"/>
      <c r="L485" s="98"/>
      <c r="M485" s="6"/>
    </row>
    <row r="486" spans="1:13">
      <c r="A486" s="5"/>
      <c r="C486" s="7"/>
      <c r="D486" s="6"/>
      <c r="L486" s="98"/>
      <c r="M486" s="6"/>
    </row>
    <row r="487" spans="1:13">
      <c r="A487" s="5"/>
      <c r="C487" s="7"/>
      <c r="D487" s="6"/>
      <c r="L487" s="98"/>
      <c r="M487" s="6"/>
    </row>
    <row r="488" spans="1:13">
      <c r="A488" s="5"/>
      <c r="C488" s="7"/>
      <c r="D488" s="6"/>
      <c r="L488" s="98"/>
      <c r="M488" s="6"/>
    </row>
    <row r="489" spans="1:13">
      <c r="A489" s="5"/>
      <c r="C489" s="7"/>
      <c r="D489" s="6"/>
      <c r="L489" s="98"/>
      <c r="M489" s="6"/>
    </row>
    <row r="490" spans="1:13">
      <c r="A490" s="5"/>
      <c r="C490" s="7"/>
      <c r="D490" s="6"/>
      <c r="L490" s="98"/>
      <c r="M490" s="6"/>
    </row>
    <row r="491" spans="1:13">
      <c r="A491" s="5"/>
      <c r="C491" s="7"/>
      <c r="D491" s="6"/>
      <c r="L491" s="98"/>
      <c r="M491" s="6"/>
    </row>
    <row r="492" spans="1:13">
      <c r="A492" s="5"/>
      <c r="C492" s="7"/>
      <c r="D492" s="6"/>
      <c r="L492" s="98"/>
      <c r="M492" s="6"/>
    </row>
    <row r="493" spans="1:13">
      <c r="A493" s="5"/>
      <c r="C493" s="7"/>
      <c r="D493" s="6"/>
      <c r="L493" s="98"/>
      <c r="M493" s="6"/>
    </row>
    <row r="494" spans="1:13">
      <c r="A494" s="5"/>
      <c r="C494" s="7"/>
      <c r="D494" s="6"/>
      <c r="L494" s="98"/>
      <c r="M494" s="6"/>
    </row>
    <row r="495" spans="1:13">
      <c r="A495" s="5"/>
      <c r="C495" s="7"/>
      <c r="D495" s="6"/>
      <c r="L495" s="98"/>
      <c r="M495" s="6"/>
    </row>
    <row r="496" spans="1:13">
      <c r="A496" s="5"/>
      <c r="C496" s="7"/>
      <c r="D496" s="6"/>
      <c r="L496" s="98"/>
      <c r="M496" s="6"/>
    </row>
    <row r="497" spans="1:13">
      <c r="A497" s="5"/>
      <c r="C497" s="7"/>
      <c r="D497" s="6"/>
      <c r="L497" s="98"/>
      <c r="M497" s="6"/>
    </row>
    <row r="498" spans="1:13">
      <c r="A498" s="5"/>
      <c r="C498" s="7"/>
      <c r="D498" s="6"/>
      <c r="L498" s="98"/>
      <c r="M498" s="6"/>
    </row>
    <row r="499" spans="1:13">
      <c r="A499" s="5"/>
      <c r="C499" s="7"/>
      <c r="D499" s="6"/>
      <c r="L499" s="98"/>
      <c r="M499" s="6"/>
    </row>
    <row r="500" spans="1:13">
      <c r="A500" s="5"/>
      <c r="C500" s="7"/>
      <c r="D500" s="6"/>
      <c r="L500" s="98"/>
      <c r="M500" s="6"/>
    </row>
    <row r="501" spans="1:13">
      <c r="A501" s="5"/>
      <c r="C501" s="7"/>
      <c r="D501" s="6"/>
      <c r="L501" s="98"/>
      <c r="M501" s="6"/>
    </row>
    <row r="502" spans="1:13">
      <c r="A502" s="5"/>
      <c r="C502" s="7"/>
      <c r="D502" s="6"/>
      <c r="L502" s="98"/>
      <c r="M502" s="6"/>
    </row>
    <row r="503" spans="1:13">
      <c r="A503" s="5"/>
      <c r="C503" s="7"/>
      <c r="D503" s="6"/>
      <c r="L503" s="98"/>
      <c r="M503" s="6"/>
    </row>
    <row r="504" spans="1:13">
      <c r="A504" s="5"/>
      <c r="C504" s="7"/>
      <c r="D504" s="6"/>
      <c r="L504" s="98"/>
      <c r="M504" s="6"/>
    </row>
    <row r="505" spans="1:13">
      <c r="A505" s="5"/>
      <c r="C505" s="7"/>
      <c r="D505" s="6"/>
      <c r="L505" s="98"/>
      <c r="M505" s="6"/>
    </row>
    <row r="506" spans="1:13">
      <c r="A506" s="5"/>
      <c r="C506" s="7"/>
      <c r="D506" s="6"/>
      <c r="L506" s="98"/>
      <c r="M506" s="6"/>
    </row>
    <row r="507" spans="1:13">
      <c r="A507" s="5"/>
      <c r="C507" s="7"/>
      <c r="D507" s="6"/>
      <c r="L507" s="98"/>
      <c r="M507" s="6"/>
    </row>
    <row r="508" spans="1:13">
      <c r="A508" s="5"/>
      <c r="C508" s="7"/>
      <c r="D508" s="6"/>
      <c r="L508" s="98"/>
      <c r="M508" s="6"/>
    </row>
    <row r="509" spans="1:13">
      <c r="A509" s="5"/>
      <c r="C509" s="7"/>
      <c r="D509" s="6"/>
      <c r="L509" s="98"/>
      <c r="M509" s="6"/>
    </row>
    <row r="510" spans="1:13">
      <c r="A510" s="5"/>
      <c r="C510" s="7"/>
      <c r="D510" s="6"/>
      <c r="L510" s="98"/>
      <c r="M510" s="6"/>
    </row>
    <row r="511" spans="1:13">
      <c r="A511" s="5"/>
      <c r="C511" s="7"/>
      <c r="D511" s="6"/>
      <c r="L511" s="98"/>
      <c r="M511" s="6"/>
    </row>
    <row r="512" spans="1:13">
      <c r="A512" s="5"/>
      <c r="C512" s="7"/>
      <c r="D512" s="6"/>
      <c r="L512" s="98"/>
      <c r="M512" s="6"/>
    </row>
    <row r="513" spans="1:13">
      <c r="A513" s="5"/>
      <c r="C513" s="7"/>
      <c r="D513" s="6"/>
      <c r="L513" s="98"/>
      <c r="M513" s="6"/>
    </row>
    <row r="514" spans="1:13">
      <c r="A514" s="5"/>
      <c r="C514" s="7"/>
      <c r="D514" s="6"/>
      <c r="L514" s="98"/>
      <c r="M514" s="6"/>
    </row>
    <row r="515" spans="1:13">
      <c r="A515" s="5"/>
      <c r="C515" s="7"/>
      <c r="D515" s="6"/>
      <c r="L515" s="98"/>
      <c r="M515" s="6"/>
    </row>
    <row r="516" spans="1:13">
      <c r="A516" s="5"/>
      <c r="C516" s="7"/>
      <c r="D516" s="6"/>
      <c r="L516" s="98"/>
      <c r="M516" s="6"/>
    </row>
    <row r="517" spans="1:13">
      <c r="A517" s="5"/>
      <c r="C517" s="7"/>
      <c r="D517" s="6"/>
      <c r="L517" s="98"/>
      <c r="M517" s="6"/>
    </row>
    <row r="518" spans="1:13">
      <c r="A518" s="5"/>
      <c r="C518" s="7"/>
      <c r="D518" s="6"/>
      <c r="L518" s="98"/>
      <c r="M518" s="6"/>
    </row>
    <row r="519" spans="1:13">
      <c r="A519" s="5"/>
      <c r="C519" s="7"/>
      <c r="D519" s="6"/>
      <c r="L519" s="98"/>
      <c r="M519" s="6"/>
    </row>
    <row r="520" spans="1:13">
      <c r="A520" s="5"/>
      <c r="C520" s="7"/>
      <c r="D520" s="6"/>
      <c r="L520" s="98"/>
      <c r="M520" s="6"/>
    </row>
    <row r="521" spans="1:13">
      <c r="A521" s="5"/>
      <c r="C521" s="7"/>
      <c r="D521" s="6"/>
      <c r="L521" s="98"/>
      <c r="M521" s="6"/>
    </row>
    <row r="522" spans="1:13">
      <c r="A522" s="5"/>
      <c r="C522" s="7"/>
      <c r="D522" s="6"/>
      <c r="L522" s="98"/>
      <c r="M522" s="6"/>
    </row>
    <row r="523" spans="1:13">
      <c r="A523" s="5"/>
      <c r="C523" s="7"/>
      <c r="D523" s="6"/>
      <c r="L523" s="98"/>
      <c r="M523" s="6"/>
    </row>
    <row r="524" spans="1:13">
      <c r="A524" s="5"/>
      <c r="C524" s="7"/>
      <c r="D524" s="6"/>
      <c r="L524" s="98"/>
      <c r="M524" s="6"/>
    </row>
    <row r="525" spans="1:13">
      <c r="A525" s="5"/>
      <c r="C525" s="7"/>
      <c r="D525" s="6"/>
      <c r="L525" s="98"/>
      <c r="M525" s="6"/>
    </row>
    <row r="526" spans="1:13">
      <c r="A526" s="5"/>
      <c r="C526" s="7"/>
      <c r="D526" s="6"/>
      <c r="L526" s="98"/>
      <c r="M526" s="6"/>
    </row>
    <row r="527" spans="1:13">
      <c r="A527" s="5"/>
      <c r="C527" s="7"/>
      <c r="D527" s="6"/>
      <c r="L527" s="98"/>
      <c r="M527" s="6"/>
    </row>
    <row r="528" spans="1:13">
      <c r="A528" s="5"/>
      <c r="C528" s="7"/>
      <c r="D528" s="6"/>
      <c r="L528" s="98"/>
      <c r="M528" s="6"/>
    </row>
    <row r="529" spans="1:13">
      <c r="A529" s="5"/>
      <c r="C529" s="7"/>
      <c r="D529" s="6"/>
      <c r="L529" s="98"/>
      <c r="M529" s="6"/>
    </row>
    <row r="530" spans="1:13">
      <c r="A530" s="5"/>
      <c r="C530" s="7"/>
      <c r="D530" s="6"/>
      <c r="L530" s="98"/>
      <c r="M530" s="6"/>
    </row>
    <row r="531" spans="1:13">
      <c r="A531" s="5"/>
      <c r="C531" s="7"/>
      <c r="D531" s="6"/>
      <c r="L531" s="98"/>
      <c r="M531" s="6"/>
    </row>
    <row r="532" spans="1:13">
      <c r="A532" s="5"/>
      <c r="C532" s="7"/>
      <c r="D532" s="6"/>
      <c r="L532" s="98"/>
      <c r="M532" s="6"/>
    </row>
    <row r="533" spans="1:13">
      <c r="A533" s="5"/>
      <c r="C533" s="7"/>
      <c r="D533" s="6"/>
      <c r="L533" s="98"/>
      <c r="M533" s="6"/>
    </row>
    <row r="534" spans="1:13">
      <c r="A534" s="5"/>
      <c r="C534" s="7"/>
      <c r="D534" s="6"/>
      <c r="L534" s="98"/>
      <c r="M534" s="6"/>
    </row>
    <row r="535" spans="1:13">
      <c r="A535" s="5"/>
      <c r="C535" s="7"/>
      <c r="D535" s="6"/>
      <c r="L535" s="98"/>
      <c r="M535" s="6"/>
    </row>
    <row r="536" spans="1:13">
      <c r="A536" s="5"/>
      <c r="C536" s="7"/>
      <c r="D536" s="6"/>
      <c r="L536" s="98"/>
      <c r="M536" s="6"/>
    </row>
    <row r="537" spans="1:13">
      <c r="A537" s="5"/>
      <c r="C537" s="7"/>
      <c r="D537" s="6"/>
      <c r="L537" s="98"/>
      <c r="M537" s="6"/>
    </row>
    <row r="538" spans="1:13">
      <c r="A538" s="5"/>
      <c r="C538" s="7"/>
      <c r="D538" s="6"/>
      <c r="L538" s="98"/>
      <c r="M538" s="6"/>
    </row>
    <row r="539" spans="1:13">
      <c r="A539" s="5"/>
      <c r="C539" s="7"/>
      <c r="D539" s="6"/>
      <c r="L539" s="98"/>
      <c r="M539" s="6"/>
    </row>
    <row r="540" spans="1:13">
      <c r="A540" s="5"/>
      <c r="C540" s="7"/>
      <c r="D540" s="6"/>
      <c r="L540" s="98"/>
      <c r="M540" s="6"/>
    </row>
    <row r="541" spans="1:13">
      <c r="A541" s="5"/>
      <c r="C541" s="7"/>
      <c r="D541" s="6"/>
      <c r="L541" s="98"/>
      <c r="M541" s="6"/>
    </row>
    <row r="542" spans="1:13">
      <c r="A542" s="5"/>
      <c r="C542" s="7"/>
      <c r="D542" s="6"/>
      <c r="L542" s="98"/>
      <c r="M542" s="6"/>
    </row>
    <row r="543" spans="1:13">
      <c r="A543" s="5"/>
      <c r="C543" s="7"/>
      <c r="D543" s="6"/>
      <c r="L543" s="98"/>
      <c r="M543" s="6"/>
    </row>
    <row r="544" spans="1:13">
      <c r="A544" s="5"/>
      <c r="C544" s="7"/>
      <c r="D544" s="6"/>
      <c r="L544" s="98"/>
      <c r="M544" s="6"/>
    </row>
    <row r="545" spans="1:13">
      <c r="A545" s="5"/>
      <c r="C545" s="7"/>
      <c r="D545" s="6"/>
      <c r="L545" s="98"/>
      <c r="M545" s="6"/>
    </row>
    <row r="546" spans="1:13">
      <c r="A546" s="5"/>
      <c r="C546" s="7"/>
      <c r="D546" s="6"/>
      <c r="L546" s="98"/>
      <c r="M546" s="6"/>
    </row>
    <row r="547" spans="1:13">
      <c r="A547" s="5"/>
      <c r="C547" s="7"/>
      <c r="D547" s="6"/>
      <c r="L547" s="98"/>
      <c r="M547" s="6"/>
    </row>
    <row r="548" spans="1:13">
      <c r="A548" s="5"/>
      <c r="C548" s="7"/>
      <c r="D548" s="6"/>
      <c r="L548" s="98"/>
      <c r="M548" s="6"/>
    </row>
    <row r="549" spans="1:13">
      <c r="A549" s="5"/>
      <c r="C549" s="7"/>
      <c r="D549" s="6"/>
      <c r="L549" s="98"/>
      <c r="M549" s="6"/>
    </row>
    <row r="550" spans="1:13">
      <c r="A550" s="5"/>
      <c r="C550" s="7"/>
      <c r="D550" s="6"/>
      <c r="L550" s="98"/>
      <c r="M550" s="6"/>
    </row>
    <row r="551" spans="1:13">
      <c r="A551" s="5"/>
      <c r="C551" s="7"/>
      <c r="D551" s="6"/>
      <c r="L551" s="98"/>
      <c r="M551" s="6"/>
    </row>
    <row r="552" spans="1:13">
      <c r="A552" s="5"/>
      <c r="C552" s="7"/>
      <c r="D552" s="6"/>
      <c r="L552" s="98"/>
      <c r="M552" s="6"/>
    </row>
    <row r="553" spans="1:13">
      <c r="A553" s="5"/>
      <c r="C553" s="7"/>
      <c r="D553" s="6"/>
      <c r="L553" s="98"/>
      <c r="M553" s="6"/>
    </row>
    <row r="554" spans="1:13">
      <c r="A554" s="5"/>
      <c r="C554" s="7"/>
      <c r="D554" s="6"/>
      <c r="L554" s="98"/>
      <c r="M554" s="6"/>
    </row>
    <row r="555" spans="1:13">
      <c r="A555" s="5"/>
      <c r="C555" s="7"/>
      <c r="D555" s="6"/>
      <c r="L555" s="98"/>
      <c r="M555" s="6"/>
    </row>
    <row r="556" spans="1:13">
      <c r="A556" s="5"/>
      <c r="C556" s="7"/>
      <c r="D556" s="6"/>
      <c r="L556" s="98"/>
      <c r="M556" s="6"/>
    </row>
    <row r="557" spans="1:13">
      <c r="A557" s="5"/>
      <c r="C557" s="7"/>
      <c r="D557" s="6"/>
      <c r="L557" s="98"/>
      <c r="M557" s="6"/>
    </row>
    <row r="558" spans="1:13">
      <c r="A558" s="5"/>
      <c r="C558" s="7"/>
      <c r="D558" s="6"/>
      <c r="L558" s="98"/>
      <c r="M558" s="6"/>
    </row>
    <row r="559" spans="1:13">
      <c r="A559" s="5"/>
      <c r="C559" s="7"/>
      <c r="D559" s="6"/>
      <c r="L559" s="98"/>
      <c r="M559" s="6"/>
    </row>
    <row r="560" spans="1:13">
      <c r="A560" s="5"/>
      <c r="C560" s="7"/>
      <c r="D560" s="6"/>
      <c r="L560" s="98"/>
      <c r="M560" s="6"/>
    </row>
    <row r="561" spans="1:13">
      <c r="A561" s="5"/>
      <c r="C561" s="7"/>
      <c r="D561" s="6"/>
      <c r="L561" s="98"/>
      <c r="M561" s="6"/>
    </row>
    <row r="562" spans="1:13">
      <c r="A562" s="5"/>
      <c r="C562" s="7"/>
      <c r="D562" s="6"/>
      <c r="L562" s="98"/>
      <c r="M562" s="6"/>
    </row>
    <row r="563" spans="1:13">
      <c r="A563" s="5"/>
      <c r="C563" s="7"/>
      <c r="D563" s="6"/>
      <c r="L563" s="98"/>
      <c r="M563" s="6"/>
    </row>
    <row r="564" spans="1:13">
      <c r="A564" s="5"/>
      <c r="C564" s="7"/>
      <c r="D564" s="6"/>
      <c r="L564" s="98"/>
      <c r="M564" s="6"/>
    </row>
    <row r="565" spans="1:13">
      <c r="A565" s="5"/>
      <c r="C565" s="7"/>
      <c r="D565" s="6"/>
      <c r="L565" s="98"/>
      <c r="M565" s="6"/>
    </row>
    <row r="566" spans="1:13">
      <c r="A566" s="5"/>
      <c r="C566" s="7"/>
      <c r="D566" s="6"/>
      <c r="L566" s="98"/>
      <c r="M566" s="6"/>
    </row>
    <row r="567" spans="1:13">
      <c r="A567" s="5"/>
      <c r="C567" s="7"/>
      <c r="D567" s="6"/>
      <c r="L567" s="98"/>
      <c r="M567" s="6"/>
    </row>
    <row r="568" spans="1:13">
      <c r="A568" s="5"/>
      <c r="C568" s="7"/>
      <c r="D568" s="6"/>
      <c r="L568" s="98"/>
      <c r="M568" s="6"/>
    </row>
    <row r="569" spans="1:13">
      <c r="A569" s="5"/>
      <c r="C569" s="7"/>
      <c r="D569" s="6"/>
      <c r="L569" s="98"/>
      <c r="M569" s="6"/>
    </row>
    <row r="570" spans="1:13">
      <c r="A570" s="5"/>
      <c r="C570" s="7"/>
      <c r="D570" s="6"/>
      <c r="L570" s="98"/>
      <c r="M570" s="6"/>
    </row>
    <row r="571" spans="1:13">
      <c r="A571" s="5"/>
      <c r="C571" s="7"/>
      <c r="D571" s="6"/>
      <c r="L571" s="98"/>
      <c r="M571" s="6"/>
    </row>
    <row r="572" spans="1:13">
      <c r="A572" s="5"/>
      <c r="C572" s="7"/>
      <c r="D572" s="6"/>
      <c r="L572" s="98"/>
      <c r="M572" s="6"/>
    </row>
    <row r="573" spans="1:13">
      <c r="A573" s="5"/>
      <c r="C573" s="7"/>
      <c r="D573" s="6"/>
      <c r="L573" s="98"/>
      <c r="M573" s="6"/>
    </row>
    <row r="574" spans="1:13">
      <c r="A574" s="5"/>
      <c r="C574" s="7"/>
      <c r="D574" s="6"/>
      <c r="L574" s="98"/>
      <c r="M574" s="6"/>
    </row>
    <row r="575" spans="1:13">
      <c r="A575" s="5"/>
      <c r="C575" s="7"/>
      <c r="D575" s="6"/>
      <c r="L575" s="98"/>
      <c r="M575" s="6"/>
    </row>
    <row r="576" spans="1:13">
      <c r="A576" s="5"/>
      <c r="C576" s="7"/>
      <c r="D576" s="6"/>
      <c r="L576" s="98"/>
      <c r="M576" s="6"/>
    </row>
    <row r="577" spans="1:13">
      <c r="A577" s="5"/>
      <c r="C577" s="7"/>
      <c r="D577" s="6"/>
      <c r="L577" s="98"/>
      <c r="M577" s="6"/>
    </row>
    <row r="578" spans="1:13">
      <c r="A578" s="5"/>
      <c r="C578" s="7"/>
      <c r="D578" s="6"/>
      <c r="L578" s="98"/>
      <c r="M578" s="6"/>
    </row>
    <row r="579" spans="1:13">
      <c r="A579" s="5"/>
      <c r="C579" s="7"/>
      <c r="D579" s="6"/>
      <c r="L579" s="98"/>
      <c r="M579" s="6"/>
    </row>
    <row r="580" spans="1:13">
      <c r="A580" s="5"/>
      <c r="C580" s="7"/>
      <c r="D580" s="6"/>
      <c r="L580" s="98"/>
      <c r="M580" s="6"/>
    </row>
    <row r="581" spans="1:13">
      <c r="A581" s="5"/>
      <c r="C581" s="7"/>
      <c r="D581" s="6"/>
      <c r="L581" s="98"/>
      <c r="M581" s="6"/>
    </row>
    <row r="582" spans="1:13">
      <c r="A582" s="5"/>
      <c r="C582" s="7"/>
      <c r="D582" s="6"/>
      <c r="L582" s="98"/>
      <c r="M582" s="6"/>
    </row>
    <row r="583" spans="1:13">
      <c r="A583" s="5"/>
      <c r="C583" s="7"/>
      <c r="D583" s="6"/>
      <c r="L583" s="98"/>
      <c r="M583" s="6"/>
    </row>
    <row r="584" spans="1:13">
      <c r="A584" s="5"/>
      <c r="C584" s="7"/>
      <c r="D584" s="6"/>
      <c r="L584" s="98"/>
      <c r="M584" s="6"/>
    </row>
    <row r="585" spans="1:13">
      <c r="A585" s="5"/>
      <c r="C585" s="7"/>
      <c r="D585" s="6"/>
      <c r="L585" s="98"/>
      <c r="M585" s="6"/>
    </row>
    <row r="586" spans="1:13">
      <c r="A586" s="5"/>
      <c r="C586" s="7"/>
      <c r="D586" s="6"/>
      <c r="L586" s="98"/>
      <c r="M586" s="6"/>
    </row>
    <row r="587" spans="1:13">
      <c r="A587" s="5"/>
      <c r="C587" s="7"/>
      <c r="D587" s="6"/>
      <c r="L587" s="98"/>
      <c r="M587" s="6"/>
    </row>
    <row r="588" spans="1:13">
      <c r="A588" s="5"/>
      <c r="C588" s="7"/>
      <c r="D588" s="6"/>
      <c r="L588" s="98"/>
      <c r="M588" s="6"/>
    </row>
    <row r="589" spans="1:13">
      <c r="A589" s="5"/>
      <c r="C589" s="7"/>
      <c r="D589" s="6"/>
      <c r="L589" s="98"/>
      <c r="M589" s="6"/>
    </row>
    <row r="590" spans="1:13">
      <c r="A590" s="5"/>
      <c r="C590" s="7"/>
      <c r="D590" s="6"/>
      <c r="L590" s="98"/>
      <c r="M590" s="6"/>
    </row>
    <row r="591" spans="1:13">
      <c r="A591" s="5"/>
      <c r="C591" s="7"/>
      <c r="D591" s="6"/>
      <c r="L591" s="98"/>
      <c r="M591" s="6"/>
    </row>
    <row r="592" spans="1:13">
      <c r="A592" s="5"/>
      <c r="C592" s="7"/>
      <c r="D592" s="6"/>
      <c r="L592" s="98"/>
      <c r="M592" s="6"/>
    </row>
    <row r="593" spans="1:13">
      <c r="A593" s="5"/>
      <c r="C593" s="7"/>
      <c r="D593" s="6"/>
      <c r="L593" s="98"/>
      <c r="M593" s="6"/>
    </row>
    <row r="594" spans="1:13">
      <c r="A594" s="5"/>
      <c r="C594" s="7"/>
      <c r="D594" s="6"/>
      <c r="L594" s="98"/>
      <c r="M594" s="6"/>
    </row>
    <row r="595" spans="1:13">
      <c r="A595" s="5"/>
      <c r="C595" s="7"/>
      <c r="D595" s="6"/>
      <c r="L595" s="98"/>
      <c r="M595" s="6"/>
    </row>
    <row r="596" spans="1:13">
      <c r="A596" s="5"/>
      <c r="C596" s="7"/>
      <c r="D596" s="6"/>
      <c r="L596" s="98"/>
      <c r="M596" s="6"/>
    </row>
    <row r="597" spans="1:13">
      <c r="A597" s="5"/>
      <c r="C597" s="7"/>
      <c r="D597" s="6"/>
      <c r="L597" s="98"/>
      <c r="M597" s="6"/>
    </row>
    <row r="598" spans="1:13">
      <c r="A598" s="5"/>
      <c r="C598" s="7"/>
      <c r="D598" s="6"/>
      <c r="L598" s="98"/>
      <c r="M598" s="6"/>
    </row>
    <row r="599" spans="1:13">
      <c r="A599" s="5"/>
      <c r="C599" s="7"/>
      <c r="D599" s="6"/>
      <c r="L599" s="98"/>
      <c r="M599" s="6"/>
    </row>
    <row r="600" spans="1:13">
      <c r="A600" s="5"/>
      <c r="C600" s="7"/>
      <c r="D600" s="6"/>
      <c r="L600" s="98"/>
      <c r="M600" s="6"/>
    </row>
    <row r="601" spans="1:13">
      <c r="A601" s="5"/>
      <c r="C601" s="7"/>
      <c r="D601" s="6"/>
      <c r="L601" s="98"/>
      <c r="M601" s="6"/>
    </row>
    <row r="602" spans="1:13">
      <c r="A602" s="5"/>
      <c r="C602" s="7"/>
      <c r="D602" s="6"/>
      <c r="L602" s="98"/>
      <c r="M602" s="6"/>
    </row>
    <row r="603" spans="1:13">
      <c r="A603" s="5"/>
      <c r="C603" s="7"/>
      <c r="D603" s="6"/>
      <c r="L603" s="98"/>
      <c r="M603" s="6"/>
    </row>
    <row r="604" spans="1:13">
      <c r="A604" s="5"/>
      <c r="C604" s="7"/>
      <c r="D604" s="6"/>
      <c r="L604" s="98"/>
      <c r="M604" s="6"/>
    </row>
    <row r="605" spans="1:13">
      <c r="A605" s="5"/>
      <c r="C605" s="7"/>
      <c r="D605" s="6"/>
      <c r="L605" s="98"/>
      <c r="M605" s="6"/>
    </row>
    <row r="606" spans="1:13">
      <c r="A606" s="5"/>
      <c r="C606" s="7"/>
      <c r="D606" s="6"/>
      <c r="L606" s="98"/>
      <c r="M606" s="6"/>
    </row>
    <row r="607" spans="1:13">
      <c r="A607" s="5"/>
      <c r="C607" s="7"/>
      <c r="D607" s="6"/>
      <c r="L607" s="98"/>
      <c r="M607" s="6"/>
    </row>
    <row r="608" spans="1:13">
      <c r="A608" s="5"/>
      <c r="C608" s="7"/>
      <c r="D608" s="6"/>
      <c r="L608" s="98"/>
      <c r="M608" s="6"/>
    </row>
    <row r="609" spans="1:13">
      <c r="A609" s="5"/>
      <c r="C609" s="7"/>
      <c r="D609" s="6"/>
      <c r="L609" s="98"/>
      <c r="M609" s="6"/>
    </row>
    <row r="610" spans="1:13">
      <c r="A610" s="5"/>
      <c r="C610" s="7"/>
      <c r="D610" s="6"/>
      <c r="L610" s="98"/>
      <c r="M610" s="6"/>
    </row>
    <row r="611" spans="1:13">
      <c r="A611" s="5"/>
      <c r="C611" s="7"/>
      <c r="D611" s="6"/>
      <c r="L611" s="98"/>
      <c r="M611" s="6"/>
    </row>
    <row r="612" spans="1:13">
      <c r="A612" s="5"/>
      <c r="C612" s="7"/>
      <c r="D612" s="6"/>
      <c r="L612" s="98"/>
      <c r="M612" s="6"/>
    </row>
    <row r="613" spans="1:13">
      <c r="A613" s="5"/>
      <c r="C613" s="7"/>
      <c r="D613" s="6"/>
      <c r="L613" s="98"/>
      <c r="M613" s="6"/>
    </row>
    <row r="614" spans="1:13">
      <c r="A614" s="5"/>
      <c r="C614" s="7"/>
      <c r="D614" s="6"/>
      <c r="L614" s="98"/>
      <c r="M614" s="6"/>
    </row>
    <row r="615" spans="1:13">
      <c r="A615" s="5"/>
      <c r="C615" s="7"/>
      <c r="D615" s="6"/>
      <c r="L615" s="98"/>
      <c r="M615" s="6"/>
    </row>
    <row r="616" spans="1:13">
      <c r="A616" s="5"/>
      <c r="C616" s="7"/>
      <c r="D616" s="6"/>
      <c r="L616" s="98"/>
      <c r="M616" s="6"/>
    </row>
    <row r="617" spans="1:13">
      <c r="A617" s="5"/>
      <c r="C617" s="7"/>
      <c r="D617" s="6"/>
      <c r="L617" s="98"/>
      <c r="M617" s="6"/>
    </row>
    <row r="618" spans="1:13">
      <c r="A618" s="5"/>
      <c r="C618" s="7"/>
      <c r="D618" s="6"/>
      <c r="L618" s="98"/>
      <c r="M618" s="6"/>
    </row>
    <row r="619" spans="1:13">
      <c r="A619" s="5"/>
      <c r="C619" s="7"/>
      <c r="D619" s="6"/>
      <c r="L619" s="98"/>
      <c r="M619" s="6"/>
    </row>
    <row r="620" spans="1:13">
      <c r="A620" s="5"/>
      <c r="C620" s="7"/>
      <c r="D620" s="6"/>
      <c r="L620" s="98"/>
      <c r="M620" s="6"/>
    </row>
    <row r="621" spans="1:13">
      <c r="A621" s="5"/>
      <c r="C621" s="7"/>
      <c r="D621" s="6"/>
      <c r="L621" s="98"/>
      <c r="M621" s="6"/>
    </row>
    <row r="622" spans="1:13">
      <c r="A622" s="5"/>
      <c r="C622" s="7"/>
      <c r="D622" s="6"/>
      <c r="L622" s="98"/>
      <c r="M622" s="6"/>
    </row>
    <row r="623" spans="1:13">
      <c r="A623" s="5"/>
      <c r="C623" s="7"/>
      <c r="D623" s="6"/>
      <c r="L623" s="98"/>
      <c r="M623" s="6"/>
    </row>
    <row r="624" spans="1:13">
      <c r="A624" s="5"/>
      <c r="C624" s="7"/>
      <c r="D624" s="6"/>
      <c r="L624" s="98"/>
      <c r="M624" s="6"/>
    </row>
    <row r="625" spans="1:13">
      <c r="A625" s="5"/>
      <c r="C625" s="7"/>
      <c r="D625" s="6"/>
      <c r="L625" s="98"/>
      <c r="M625" s="6"/>
    </row>
    <row r="626" spans="1:13">
      <c r="A626" s="5"/>
      <c r="C626" s="7"/>
      <c r="D626" s="6"/>
      <c r="L626" s="98"/>
      <c r="M626" s="6"/>
    </row>
    <row r="627" spans="1:13">
      <c r="A627" s="5"/>
      <c r="C627" s="7"/>
      <c r="D627" s="6"/>
      <c r="L627" s="98"/>
      <c r="M627" s="6"/>
    </row>
    <row r="628" spans="1:13">
      <c r="A628" s="5"/>
      <c r="C628" s="7"/>
      <c r="D628" s="6"/>
      <c r="L628" s="98"/>
      <c r="M628" s="6"/>
    </row>
    <row r="629" spans="1:13">
      <c r="A629" s="5"/>
      <c r="C629" s="7"/>
      <c r="D629" s="6"/>
      <c r="L629" s="98"/>
      <c r="M629" s="6"/>
    </row>
    <row r="630" spans="1:13">
      <c r="A630" s="5"/>
      <c r="C630" s="7"/>
      <c r="D630" s="6"/>
      <c r="L630" s="98"/>
      <c r="M630" s="6"/>
    </row>
    <row r="631" spans="1:13">
      <c r="A631" s="5"/>
      <c r="C631" s="7"/>
      <c r="D631" s="6"/>
      <c r="L631" s="98"/>
      <c r="M631" s="6"/>
    </row>
    <row r="632" spans="1:13">
      <c r="A632" s="5"/>
      <c r="C632" s="7"/>
      <c r="D632" s="6"/>
      <c r="L632" s="98"/>
      <c r="M632" s="6"/>
    </row>
    <row r="633" spans="1:13">
      <c r="A633" s="5"/>
      <c r="C633" s="7"/>
      <c r="D633" s="6"/>
      <c r="L633" s="98"/>
      <c r="M633" s="6"/>
    </row>
    <row r="634" spans="1:13">
      <c r="A634" s="5"/>
      <c r="C634" s="7"/>
      <c r="D634" s="6"/>
      <c r="L634" s="98"/>
      <c r="M634" s="6"/>
    </row>
    <row r="635" spans="1:13">
      <c r="A635" s="5"/>
      <c r="C635" s="7"/>
      <c r="D635" s="6"/>
      <c r="L635" s="98"/>
      <c r="M635" s="6"/>
    </row>
    <row r="636" spans="1:13">
      <c r="A636" s="5"/>
      <c r="C636" s="7"/>
      <c r="D636" s="6"/>
      <c r="L636" s="98"/>
      <c r="M636" s="6"/>
    </row>
    <row r="637" spans="1:13">
      <c r="A637" s="5"/>
      <c r="C637" s="7"/>
      <c r="D637" s="6"/>
      <c r="L637" s="98"/>
      <c r="M637" s="6"/>
    </row>
    <row r="638" spans="1:13">
      <c r="A638" s="5"/>
      <c r="C638" s="7"/>
      <c r="D638" s="6"/>
      <c r="L638" s="98"/>
      <c r="M638" s="6"/>
    </row>
    <row r="639" spans="1:13">
      <c r="A639" s="5"/>
      <c r="C639" s="7"/>
      <c r="D639" s="6"/>
      <c r="L639" s="98"/>
      <c r="M639" s="6"/>
    </row>
    <row r="640" spans="1:13">
      <c r="A640" s="5"/>
      <c r="C640" s="7"/>
      <c r="D640" s="6"/>
      <c r="L640" s="98"/>
      <c r="M640" s="6"/>
    </row>
    <row r="641" spans="1:13">
      <c r="A641" s="5"/>
      <c r="C641" s="7"/>
      <c r="D641" s="6"/>
      <c r="L641" s="98"/>
      <c r="M641" s="6"/>
    </row>
    <row r="642" spans="1:13">
      <c r="A642" s="5"/>
      <c r="C642" s="7"/>
      <c r="D642" s="6"/>
      <c r="L642" s="98"/>
      <c r="M642" s="6"/>
    </row>
    <row r="643" spans="1:13">
      <c r="A643" s="5"/>
      <c r="C643" s="7"/>
      <c r="D643" s="6"/>
      <c r="L643" s="98"/>
      <c r="M643" s="6"/>
    </row>
    <row r="644" spans="1:13">
      <c r="A644" s="5"/>
      <c r="C644" s="7"/>
      <c r="D644" s="6"/>
      <c r="L644" s="98"/>
      <c r="M644" s="6"/>
    </row>
    <row r="645" spans="1:13">
      <c r="A645" s="5"/>
      <c r="C645" s="7"/>
      <c r="D645" s="6"/>
      <c r="L645" s="98"/>
      <c r="M645" s="6"/>
    </row>
    <row r="646" spans="1:13">
      <c r="A646" s="5"/>
      <c r="C646" s="7"/>
      <c r="D646" s="6"/>
      <c r="L646" s="98"/>
      <c r="M646" s="6"/>
    </row>
    <row r="647" spans="1:13">
      <c r="A647" s="5"/>
      <c r="C647" s="7"/>
      <c r="D647" s="6"/>
      <c r="L647" s="98"/>
      <c r="M647" s="6"/>
    </row>
    <row r="648" spans="1:13">
      <c r="A648" s="5"/>
      <c r="C648" s="7"/>
      <c r="D648" s="6"/>
      <c r="L648" s="98"/>
      <c r="M648" s="6"/>
    </row>
    <row r="649" spans="1:13">
      <c r="A649" s="5"/>
      <c r="C649" s="7"/>
      <c r="D649" s="6"/>
      <c r="L649" s="98"/>
      <c r="M649" s="6"/>
    </row>
    <row r="650" spans="1:13">
      <c r="A650" s="5"/>
      <c r="C650" s="7"/>
      <c r="D650" s="6"/>
      <c r="L650" s="98"/>
      <c r="M650" s="6"/>
    </row>
    <row r="651" spans="1:13">
      <c r="A651" s="5"/>
      <c r="C651" s="7"/>
      <c r="D651" s="6"/>
      <c r="L651" s="98"/>
      <c r="M651" s="6"/>
    </row>
    <row r="652" spans="1:13">
      <c r="A652" s="5"/>
      <c r="C652" s="7"/>
      <c r="D652" s="6"/>
      <c r="L652" s="98"/>
      <c r="M652" s="6"/>
    </row>
    <row r="653" spans="1:13">
      <c r="A653" s="5"/>
      <c r="C653" s="7"/>
      <c r="D653" s="6"/>
      <c r="L653" s="98"/>
      <c r="M653" s="6"/>
    </row>
    <row r="654" spans="1:13">
      <c r="A654" s="5"/>
      <c r="C654" s="7"/>
      <c r="D654" s="6"/>
      <c r="L654" s="98"/>
      <c r="M654" s="6"/>
    </row>
    <row r="655" spans="1:13">
      <c r="A655" s="5"/>
      <c r="C655" s="7"/>
      <c r="D655" s="6"/>
      <c r="L655" s="98"/>
      <c r="M655" s="6"/>
    </row>
    <row r="656" spans="1:13">
      <c r="A656" s="5"/>
      <c r="C656" s="7"/>
      <c r="D656" s="6"/>
      <c r="L656" s="98"/>
      <c r="M656" s="6"/>
    </row>
    <row r="657" spans="1:13">
      <c r="A657" s="5"/>
      <c r="C657" s="7"/>
      <c r="D657" s="6"/>
      <c r="L657" s="98"/>
      <c r="M657" s="6"/>
    </row>
    <row r="658" spans="1:13">
      <c r="A658" s="5"/>
      <c r="C658" s="7"/>
      <c r="D658" s="6"/>
      <c r="L658" s="98"/>
      <c r="M658" s="6"/>
    </row>
    <row r="659" spans="1:13">
      <c r="A659" s="5"/>
      <c r="C659" s="7"/>
      <c r="D659" s="6"/>
      <c r="L659" s="98"/>
      <c r="M659" s="6"/>
    </row>
    <row r="660" spans="1:13">
      <c r="A660" s="5"/>
      <c r="C660" s="7"/>
      <c r="D660" s="6"/>
      <c r="L660" s="98"/>
      <c r="M660" s="6"/>
    </row>
    <row r="661" spans="1:13">
      <c r="A661" s="5"/>
      <c r="C661" s="7"/>
      <c r="D661" s="6"/>
      <c r="L661" s="98"/>
      <c r="M661" s="6"/>
    </row>
    <row r="662" spans="1:13">
      <c r="A662" s="5"/>
      <c r="C662" s="7"/>
      <c r="D662" s="6"/>
      <c r="L662" s="98"/>
      <c r="M662" s="6"/>
    </row>
    <row r="663" spans="1:13">
      <c r="A663" s="5"/>
      <c r="C663" s="7"/>
      <c r="D663" s="6"/>
      <c r="L663" s="98"/>
      <c r="M663" s="6"/>
    </row>
    <row r="664" spans="1:13">
      <c r="A664" s="5"/>
      <c r="C664" s="7"/>
      <c r="D664" s="6"/>
      <c r="L664" s="98"/>
      <c r="M664" s="6"/>
    </row>
    <row r="665" spans="1:13">
      <c r="A665" s="5"/>
      <c r="C665" s="7"/>
      <c r="D665" s="6"/>
      <c r="L665" s="98"/>
      <c r="M665" s="6"/>
    </row>
    <row r="666" spans="1:13">
      <c r="A666" s="5"/>
      <c r="C666" s="7"/>
      <c r="D666" s="6"/>
      <c r="L666" s="98"/>
      <c r="M666" s="6"/>
    </row>
    <row r="667" spans="1:13">
      <c r="A667" s="5"/>
      <c r="C667" s="7"/>
      <c r="D667" s="6"/>
      <c r="L667" s="98"/>
      <c r="M667" s="6"/>
    </row>
    <row r="668" spans="1:13">
      <c r="A668" s="5"/>
      <c r="C668" s="7"/>
      <c r="D668" s="6"/>
      <c r="L668" s="98"/>
      <c r="M668" s="6"/>
    </row>
    <row r="669" spans="1:13">
      <c r="A669" s="5"/>
      <c r="C669" s="7"/>
      <c r="D669" s="6"/>
      <c r="L669" s="98"/>
      <c r="M669" s="6"/>
    </row>
    <row r="670" spans="1:13">
      <c r="A670" s="5"/>
      <c r="C670" s="7"/>
      <c r="D670" s="6"/>
      <c r="L670" s="98"/>
      <c r="M670" s="6"/>
    </row>
    <row r="671" spans="1:13">
      <c r="A671" s="5"/>
      <c r="C671" s="7"/>
      <c r="D671" s="6"/>
      <c r="L671" s="98"/>
      <c r="M671" s="6"/>
    </row>
    <row r="672" spans="1:13">
      <c r="A672" s="5"/>
      <c r="C672" s="7"/>
      <c r="D672" s="6"/>
      <c r="L672" s="98"/>
      <c r="M672" s="6"/>
    </row>
    <row r="673" spans="1:13">
      <c r="A673" s="5"/>
      <c r="C673" s="7"/>
      <c r="D673" s="6"/>
      <c r="L673" s="98"/>
      <c r="M673" s="6"/>
    </row>
    <row r="674" spans="1:13">
      <c r="A674" s="5"/>
      <c r="C674" s="7"/>
      <c r="D674" s="6"/>
      <c r="L674" s="98"/>
      <c r="M674" s="6"/>
    </row>
    <row r="675" spans="1:13">
      <c r="A675" s="5"/>
      <c r="C675" s="7"/>
      <c r="D675" s="6"/>
      <c r="L675" s="98"/>
      <c r="M675" s="6"/>
    </row>
    <row r="676" spans="1:13">
      <c r="A676" s="5"/>
      <c r="C676" s="7"/>
      <c r="D676" s="6"/>
      <c r="L676" s="98"/>
      <c r="M676" s="6"/>
    </row>
    <row r="677" spans="1:13">
      <c r="A677" s="5"/>
      <c r="C677" s="7"/>
      <c r="D677" s="6"/>
      <c r="L677" s="98"/>
      <c r="M677" s="6"/>
    </row>
    <row r="678" spans="1:13">
      <c r="A678" s="5"/>
      <c r="C678" s="7"/>
      <c r="D678" s="6"/>
      <c r="L678" s="98"/>
      <c r="M678" s="6"/>
    </row>
    <row r="679" spans="1:13">
      <c r="A679" s="5"/>
      <c r="C679" s="7"/>
      <c r="D679" s="6"/>
      <c r="L679" s="98"/>
      <c r="M679" s="6"/>
    </row>
    <row r="680" spans="1:13">
      <c r="A680" s="5"/>
      <c r="C680" s="7"/>
      <c r="D680" s="6"/>
      <c r="L680" s="98"/>
      <c r="M680" s="6"/>
    </row>
    <row r="681" spans="1:13">
      <c r="A681" s="5"/>
      <c r="C681" s="7"/>
      <c r="D681" s="6"/>
      <c r="L681" s="98"/>
      <c r="M681" s="6"/>
    </row>
    <row r="682" spans="1:13">
      <c r="A682" s="5"/>
      <c r="C682" s="7"/>
      <c r="D682" s="6"/>
      <c r="L682" s="98"/>
      <c r="M682" s="6"/>
    </row>
    <row r="683" spans="1:13">
      <c r="A683" s="5"/>
      <c r="C683" s="7"/>
      <c r="D683" s="6"/>
      <c r="L683" s="98"/>
      <c r="M683" s="6"/>
    </row>
    <row r="684" spans="1:13">
      <c r="A684" s="5"/>
      <c r="C684" s="7"/>
      <c r="D684" s="6"/>
      <c r="L684" s="98"/>
      <c r="M684" s="6"/>
    </row>
    <row r="685" spans="1:13">
      <c r="A685" s="5"/>
      <c r="C685" s="7"/>
      <c r="D685" s="6"/>
      <c r="L685" s="98"/>
      <c r="M685" s="6"/>
    </row>
    <row r="686" spans="1:13">
      <c r="A686" s="5"/>
      <c r="C686" s="7"/>
      <c r="D686" s="6"/>
      <c r="L686" s="98"/>
      <c r="M686" s="6"/>
    </row>
    <row r="687" spans="1:13">
      <c r="A687" s="5"/>
      <c r="C687" s="7"/>
      <c r="D687" s="6"/>
      <c r="L687" s="98"/>
      <c r="M687" s="6"/>
    </row>
    <row r="688" spans="1:13">
      <c r="A688" s="5"/>
      <c r="C688" s="7"/>
      <c r="D688" s="6"/>
      <c r="L688" s="98"/>
      <c r="M688" s="6"/>
    </row>
    <row r="689" spans="1:13">
      <c r="A689" s="5"/>
      <c r="C689" s="7"/>
      <c r="D689" s="6"/>
      <c r="L689" s="98"/>
      <c r="M689" s="6"/>
    </row>
    <row r="690" spans="1:13">
      <c r="A690" s="5"/>
      <c r="C690" s="7"/>
      <c r="D690" s="6"/>
      <c r="L690" s="98"/>
      <c r="M690" s="6"/>
    </row>
    <row r="691" spans="1:13">
      <c r="A691" s="5"/>
      <c r="C691" s="7"/>
      <c r="D691" s="6"/>
      <c r="L691" s="98"/>
      <c r="M691" s="6"/>
    </row>
    <row r="692" spans="1:13">
      <c r="A692" s="5"/>
      <c r="C692" s="7"/>
      <c r="D692" s="6"/>
      <c r="L692" s="98"/>
      <c r="M692" s="6"/>
    </row>
    <row r="693" spans="1:13">
      <c r="A693" s="5"/>
      <c r="C693" s="7"/>
      <c r="D693" s="6"/>
      <c r="L693" s="98"/>
      <c r="M693" s="6"/>
    </row>
    <row r="694" spans="1:13">
      <c r="A694" s="5"/>
      <c r="C694" s="7"/>
      <c r="D694" s="6"/>
      <c r="L694" s="98"/>
      <c r="M694" s="6"/>
    </row>
    <row r="695" spans="1:13">
      <c r="A695" s="5"/>
      <c r="C695" s="7"/>
      <c r="D695" s="6"/>
      <c r="L695" s="98"/>
      <c r="M695" s="6"/>
    </row>
    <row r="696" spans="1:13">
      <c r="A696" s="5"/>
      <c r="C696" s="7"/>
      <c r="D696" s="6"/>
      <c r="L696" s="98"/>
      <c r="M696" s="6"/>
    </row>
    <row r="697" spans="1:13">
      <c r="A697" s="5"/>
      <c r="C697" s="7"/>
      <c r="D697" s="6"/>
      <c r="L697" s="98"/>
      <c r="M697" s="6"/>
    </row>
    <row r="698" spans="1:13">
      <c r="A698" s="5"/>
      <c r="C698" s="7"/>
      <c r="D698" s="6"/>
      <c r="L698" s="98"/>
      <c r="M698" s="6"/>
    </row>
    <row r="699" spans="1:13">
      <c r="A699" s="5"/>
      <c r="C699" s="7"/>
      <c r="D699" s="6"/>
      <c r="L699" s="98"/>
      <c r="M699" s="6"/>
    </row>
    <row r="700" spans="1:13">
      <c r="A700" s="5"/>
      <c r="C700" s="7"/>
      <c r="D700" s="6"/>
      <c r="L700" s="98"/>
      <c r="M700" s="6"/>
    </row>
    <row r="701" spans="1:13">
      <c r="A701" s="5"/>
      <c r="C701" s="7"/>
      <c r="D701" s="6"/>
      <c r="L701" s="98"/>
      <c r="M701" s="6"/>
    </row>
    <row r="702" spans="1:13">
      <c r="A702" s="5"/>
      <c r="C702" s="7"/>
      <c r="D702" s="6"/>
      <c r="L702" s="98"/>
      <c r="M702" s="6"/>
    </row>
    <row r="703" spans="1:13">
      <c r="A703" s="5"/>
      <c r="C703" s="7"/>
      <c r="D703" s="6"/>
      <c r="L703" s="98"/>
      <c r="M703" s="6"/>
    </row>
    <row r="704" spans="1:13">
      <c r="A704" s="5"/>
      <c r="C704" s="7"/>
      <c r="D704" s="6"/>
      <c r="L704" s="98"/>
      <c r="M704" s="6"/>
    </row>
    <row r="705" spans="1:13">
      <c r="A705" s="5"/>
      <c r="C705" s="7"/>
      <c r="D705" s="6"/>
      <c r="L705" s="98"/>
      <c r="M705" s="6"/>
    </row>
    <row r="706" spans="1:13">
      <c r="A706" s="5"/>
      <c r="C706" s="7"/>
      <c r="D706" s="6"/>
      <c r="L706" s="98"/>
      <c r="M706" s="6"/>
    </row>
    <row r="707" spans="1:13">
      <c r="A707" s="5"/>
      <c r="C707" s="7"/>
      <c r="D707" s="6"/>
      <c r="L707" s="98"/>
      <c r="M707" s="6"/>
    </row>
    <row r="708" spans="1:13">
      <c r="A708" s="5"/>
      <c r="C708" s="7"/>
      <c r="D708" s="6"/>
      <c r="L708" s="98"/>
      <c r="M708" s="6"/>
    </row>
    <row r="709" spans="1:13">
      <c r="A709" s="5"/>
      <c r="C709" s="7"/>
      <c r="D709" s="6"/>
      <c r="L709" s="98"/>
      <c r="M709" s="6"/>
    </row>
    <row r="710" spans="1:13">
      <c r="A710" s="5"/>
      <c r="C710" s="7"/>
      <c r="D710" s="6"/>
      <c r="L710" s="98"/>
      <c r="M710" s="6"/>
    </row>
    <row r="711" spans="1:13">
      <c r="A711" s="5"/>
      <c r="C711" s="7"/>
      <c r="D711" s="6"/>
      <c r="L711" s="98"/>
      <c r="M711" s="6"/>
    </row>
    <row r="712" spans="1:13">
      <c r="A712" s="5"/>
      <c r="C712" s="7"/>
      <c r="D712" s="6"/>
      <c r="L712" s="98"/>
      <c r="M712" s="6"/>
    </row>
    <row r="713" spans="1:13">
      <c r="A713" s="5"/>
      <c r="C713" s="7"/>
      <c r="D713" s="6"/>
      <c r="L713" s="98"/>
      <c r="M713" s="6"/>
    </row>
    <row r="714" spans="1:13">
      <c r="A714" s="5"/>
      <c r="C714" s="7"/>
      <c r="D714" s="6"/>
      <c r="L714" s="98"/>
      <c r="M714" s="6"/>
    </row>
    <row r="715" spans="1:13">
      <c r="A715" s="5"/>
      <c r="C715" s="7"/>
      <c r="D715" s="6"/>
      <c r="L715" s="98"/>
      <c r="M715" s="6"/>
    </row>
    <row r="716" spans="1:13">
      <c r="A716" s="5"/>
      <c r="C716" s="7"/>
      <c r="D716" s="6"/>
      <c r="L716" s="98"/>
      <c r="M716" s="6"/>
    </row>
    <row r="717" spans="1:13">
      <c r="A717" s="5"/>
      <c r="C717" s="7"/>
      <c r="D717" s="6"/>
      <c r="L717" s="98"/>
      <c r="M717" s="6"/>
    </row>
    <row r="718" spans="1:13">
      <c r="A718" s="5"/>
      <c r="C718" s="7"/>
      <c r="D718" s="6"/>
      <c r="L718" s="98"/>
      <c r="M718" s="6"/>
    </row>
    <row r="719" spans="1:13">
      <c r="A719" s="5"/>
      <c r="C719" s="7"/>
      <c r="D719" s="6"/>
      <c r="L719" s="98"/>
      <c r="M719" s="6"/>
    </row>
    <row r="720" spans="1:13">
      <c r="A720" s="5"/>
      <c r="C720" s="7"/>
      <c r="D720" s="6"/>
      <c r="L720" s="98"/>
      <c r="M720" s="6"/>
    </row>
    <row r="721" spans="1:13">
      <c r="A721" s="5"/>
      <c r="C721" s="7"/>
      <c r="D721" s="6"/>
      <c r="L721" s="98"/>
      <c r="M721" s="6"/>
    </row>
    <row r="722" spans="1:13">
      <c r="A722" s="5"/>
      <c r="C722" s="7"/>
      <c r="D722" s="6"/>
      <c r="L722" s="98"/>
      <c r="M722" s="6"/>
    </row>
    <row r="723" spans="1:13">
      <c r="A723" s="5"/>
      <c r="C723" s="7"/>
      <c r="D723" s="6"/>
      <c r="L723" s="98"/>
      <c r="M723" s="6"/>
    </row>
    <row r="724" spans="1:13">
      <c r="A724" s="5"/>
      <c r="C724" s="7"/>
      <c r="D724" s="6"/>
      <c r="L724" s="98"/>
      <c r="M724" s="6"/>
    </row>
    <row r="725" spans="1:13">
      <c r="A725" s="5"/>
      <c r="C725" s="7"/>
      <c r="D725" s="6"/>
      <c r="L725" s="98"/>
      <c r="M725" s="6"/>
    </row>
    <row r="726" spans="1:13">
      <c r="A726" s="5"/>
      <c r="C726" s="7"/>
      <c r="D726" s="6"/>
      <c r="L726" s="98"/>
      <c r="M726" s="6"/>
    </row>
    <row r="727" spans="1:13">
      <c r="A727" s="5"/>
      <c r="C727" s="7"/>
      <c r="D727" s="6"/>
      <c r="L727" s="98"/>
      <c r="M727" s="6"/>
    </row>
    <row r="728" spans="1:13">
      <c r="A728" s="5"/>
      <c r="C728" s="7"/>
      <c r="D728" s="6"/>
      <c r="L728" s="98"/>
      <c r="M728" s="6"/>
    </row>
    <row r="729" spans="1:13">
      <c r="A729" s="5"/>
      <c r="C729" s="7"/>
      <c r="D729" s="6"/>
      <c r="L729" s="98"/>
      <c r="M729" s="6"/>
    </row>
    <row r="730" spans="1:13">
      <c r="A730" s="5"/>
      <c r="C730" s="7"/>
      <c r="D730" s="6"/>
      <c r="L730" s="98"/>
      <c r="M730" s="6"/>
    </row>
    <row r="731" spans="1:13">
      <c r="A731" s="5"/>
      <c r="C731" s="7"/>
      <c r="D731" s="6"/>
      <c r="L731" s="98"/>
      <c r="M731" s="6"/>
    </row>
    <row r="732" spans="1:13">
      <c r="A732" s="5"/>
      <c r="C732" s="7"/>
      <c r="D732" s="6"/>
      <c r="L732" s="98"/>
      <c r="M732" s="6"/>
    </row>
    <row r="733" spans="1:13">
      <c r="A733" s="5"/>
      <c r="C733" s="7"/>
      <c r="D733" s="6"/>
      <c r="L733" s="98"/>
      <c r="M733" s="6"/>
    </row>
    <row r="734" spans="1:13">
      <c r="A734" s="5"/>
      <c r="C734" s="7"/>
      <c r="D734" s="6"/>
      <c r="L734" s="98"/>
      <c r="M734" s="6"/>
    </row>
    <row r="735" spans="1:13">
      <c r="A735" s="5"/>
      <c r="C735" s="7"/>
      <c r="D735" s="6"/>
      <c r="L735" s="98"/>
      <c r="M735" s="6"/>
    </row>
    <row r="736" spans="1:13">
      <c r="A736" s="5"/>
      <c r="C736" s="7"/>
      <c r="D736" s="6"/>
      <c r="L736" s="98"/>
      <c r="M736" s="6"/>
    </row>
    <row r="737" spans="1:13">
      <c r="A737" s="5"/>
      <c r="C737" s="7"/>
      <c r="D737" s="6"/>
      <c r="L737" s="98"/>
      <c r="M737" s="6"/>
    </row>
    <row r="738" spans="1:13">
      <c r="A738" s="5"/>
      <c r="C738" s="7"/>
      <c r="D738" s="6"/>
      <c r="L738" s="98"/>
      <c r="M738" s="6"/>
    </row>
    <row r="739" spans="1:13">
      <c r="A739" s="5"/>
      <c r="C739" s="7"/>
      <c r="D739" s="6"/>
      <c r="L739" s="98"/>
      <c r="M739" s="6"/>
    </row>
    <row r="740" spans="1:13">
      <c r="A740" s="5"/>
      <c r="C740" s="7"/>
      <c r="D740" s="6"/>
      <c r="L740" s="98"/>
      <c r="M740" s="6"/>
    </row>
    <row r="741" spans="1:13">
      <c r="A741" s="5"/>
      <c r="C741" s="7"/>
      <c r="D741" s="6"/>
      <c r="L741" s="98"/>
      <c r="M741" s="6"/>
    </row>
    <row r="742" spans="1:13">
      <c r="A742" s="5"/>
      <c r="C742" s="7"/>
      <c r="D742" s="6"/>
      <c r="L742" s="98"/>
      <c r="M742" s="6"/>
    </row>
    <row r="743" spans="1:13">
      <c r="A743" s="5"/>
      <c r="C743" s="7"/>
      <c r="D743" s="6"/>
      <c r="L743" s="98"/>
      <c r="M743" s="6"/>
    </row>
    <row r="744" spans="1:13">
      <c r="A744" s="5"/>
      <c r="C744" s="7"/>
      <c r="D744" s="6"/>
      <c r="L744" s="98"/>
      <c r="M744" s="6"/>
    </row>
    <row r="745" spans="1:13">
      <c r="A745" s="5"/>
      <c r="C745" s="7"/>
      <c r="D745" s="6"/>
      <c r="L745" s="98"/>
      <c r="M745" s="6"/>
    </row>
    <row r="746" spans="1:13">
      <c r="A746" s="5"/>
      <c r="C746" s="7"/>
      <c r="D746" s="6"/>
      <c r="L746" s="98"/>
      <c r="M746" s="6"/>
    </row>
    <row r="747" spans="1:13">
      <c r="A747" s="5"/>
      <c r="C747" s="7"/>
      <c r="D747" s="6"/>
      <c r="L747" s="98"/>
      <c r="M747" s="6"/>
    </row>
    <row r="748" spans="1:13">
      <c r="A748" s="5"/>
      <c r="C748" s="7"/>
      <c r="D748" s="6"/>
      <c r="L748" s="98"/>
      <c r="M748" s="6"/>
    </row>
    <row r="749" spans="1:13">
      <c r="A749" s="5"/>
      <c r="C749" s="7"/>
      <c r="D749" s="6"/>
      <c r="L749" s="98"/>
      <c r="M749" s="6"/>
    </row>
    <row r="750" spans="1:13">
      <c r="A750" s="5"/>
      <c r="C750" s="7"/>
      <c r="D750" s="6"/>
      <c r="L750" s="98"/>
      <c r="M750" s="6"/>
    </row>
    <row r="751" spans="1:13">
      <c r="A751" s="5"/>
      <c r="C751" s="7"/>
      <c r="D751" s="6"/>
      <c r="L751" s="98"/>
      <c r="M751" s="6"/>
    </row>
    <row r="752" spans="1:13">
      <c r="A752" s="5"/>
      <c r="C752" s="7"/>
      <c r="D752" s="6"/>
      <c r="L752" s="98"/>
      <c r="M752" s="6"/>
    </row>
    <row r="753" spans="1:13">
      <c r="A753" s="5"/>
      <c r="C753" s="7"/>
      <c r="D753" s="6"/>
      <c r="L753" s="98"/>
      <c r="M753" s="6"/>
    </row>
    <row r="754" spans="1:13">
      <c r="A754" s="5"/>
      <c r="C754" s="7"/>
      <c r="D754" s="6"/>
      <c r="E754" s="99"/>
      <c r="L754" s="98"/>
      <c r="M754" s="6"/>
    </row>
    <row r="755" spans="1:13">
      <c r="A755" s="5"/>
      <c r="C755" s="7"/>
      <c r="D755" s="6"/>
      <c r="E755" s="99"/>
      <c r="L755" s="98"/>
      <c r="M755" s="6"/>
    </row>
  </sheetData>
  <mergeCells count="2">
    <mergeCell ref="A1:K1"/>
    <mergeCell ref="A2:K2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85"/>
  <sheetViews>
    <sheetView zoomScale="85" zoomScaleNormal="85" workbookViewId="0">
      <selection activeCell="F214" sqref="F214:K214"/>
    </sheetView>
  </sheetViews>
  <sheetFormatPr defaultRowHeight="14.4"/>
  <cols>
    <col min="1" max="1" width="6" customWidth="1"/>
    <col min="2" max="2" width="42.44140625" customWidth="1"/>
    <col min="3" max="3" width="8.21875" bestFit="1" customWidth="1"/>
    <col min="4" max="4" width="10.44140625" customWidth="1"/>
    <col min="5" max="5" width="11.5546875" bestFit="1" customWidth="1"/>
    <col min="6" max="6" width="13.77734375" customWidth="1"/>
    <col min="7" max="7" width="12.88671875" customWidth="1"/>
    <col min="8" max="8" width="12.44140625" bestFit="1" customWidth="1"/>
    <col min="9" max="9" width="21.88671875" bestFit="1" customWidth="1"/>
    <col min="10" max="10" width="11.88671875" bestFit="1" customWidth="1"/>
    <col min="11" max="11" width="12.109375" customWidth="1"/>
  </cols>
  <sheetData>
    <row r="1" spans="1:11">
      <c r="A1" s="187" t="str">
        <f>კრებსითი!A1</f>
        <v>ნატახტარი ახალი სასაწყობე შენობა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>
      <c r="A2" s="187" t="s">
        <v>103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88" customFormat="1" ht="32.4">
      <c r="A5" s="57" t="s">
        <v>0</v>
      </c>
      <c r="B5" s="58" t="s">
        <v>26</v>
      </c>
      <c r="C5" s="59" t="s">
        <v>49</v>
      </c>
      <c r="D5" s="25" t="s">
        <v>50</v>
      </c>
      <c r="E5" s="60" t="s">
        <v>25</v>
      </c>
      <c r="F5" s="60"/>
      <c r="G5" s="60" t="s">
        <v>24</v>
      </c>
      <c r="H5" s="60"/>
      <c r="I5" s="61" t="s">
        <v>30</v>
      </c>
      <c r="J5" s="61"/>
      <c r="K5" s="60" t="s">
        <v>18</v>
      </c>
    </row>
    <row r="6" spans="1:11" s="88" customFormat="1" ht="32.4">
      <c r="A6" s="57"/>
      <c r="B6" s="63"/>
      <c r="C6" s="64"/>
      <c r="D6" s="26"/>
      <c r="E6" s="61" t="s">
        <v>51</v>
      </c>
      <c r="F6" s="61" t="s">
        <v>52</v>
      </c>
      <c r="G6" s="61" t="s">
        <v>51</v>
      </c>
      <c r="H6" s="61" t="s">
        <v>52</v>
      </c>
      <c r="I6" s="61" t="s">
        <v>51</v>
      </c>
      <c r="J6" s="61" t="s">
        <v>52</v>
      </c>
      <c r="K6" s="60"/>
    </row>
    <row r="7" spans="1:11" s="2" customFormat="1">
      <c r="A7" s="11">
        <v>1</v>
      </c>
      <c r="B7" s="12">
        <v>2</v>
      </c>
      <c r="C7" s="13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s="4" customFormat="1" ht="13.8">
      <c r="A8" s="17"/>
      <c r="B8" s="17" t="s">
        <v>53</v>
      </c>
      <c r="C8" s="18"/>
      <c r="D8" s="19"/>
      <c r="E8" s="20"/>
      <c r="F8" s="20"/>
      <c r="G8" s="20"/>
      <c r="H8" s="21"/>
      <c r="I8" s="20"/>
      <c r="J8" s="20"/>
      <c r="K8" s="21"/>
    </row>
    <row r="9" spans="1:11" s="4" customFormat="1" ht="27.6">
      <c r="A9" s="118">
        <v>1</v>
      </c>
      <c r="B9" s="172" t="s">
        <v>102</v>
      </c>
      <c r="C9" s="120" t="s">
        <v>9</v>
      </c>
      <c r="D9" s="178">
        <v>50.744</v>
      </c>
      <c r="E9" s="173"/>
      <c r="F9" s="68"/>
      <c r="G9" s="173"/>
      <c r="H9" s="173"/>
      <c r="I9" s="173"/>
      <c r="J9" s="173"/>
      <c r="K9" s="122"/>
    </row>
    <row r="10" spans="1:11" s="4" customFormat="1" ht="13.8">
      <c r="A10" s="81"/>
      <c r="B10" s="147" t="s">
        <v>11</v>
      </c>
      <c r="C10" s="23" t="s">
        <v>9</v>
      </c>
      <c r="D10" s="176">
        <f>D9</f>
        <v>50.744</v>
      </c>
      <c r="E10" s="68"/>
      <c r="F10" s="68"/>
      <c r="G10" s="68"/>
      <c r="H10" s="68"/>
      <c r="I10" s="68"/>
      <c r="J10" s="68"/>
      <c r="K10" s="68"/>
    </row>
    <row r="11" spans="1:11" s="4" customFormat="1" ht="13.8">
      <c r="A11" s="81"/>
      <c r="B11" s="147" t="s">
        <v>13</v>
      </c>
      <c r="C11" s="127" t="s">
        <v>5</v>
      </c>
      <c r="D11" s="176">
        <f>D9</f>
        <v>50.744</v>
      </c>
      <c r="E11" s="68"/>
      <c r="F11" s="68"/>
      <c r="G11" s="68"/>
      <c r="H11" s="68"/>
      <c r="I11" s="68"/>
      <c r="J11" s="68"/>
      <c r="K11" s="68"/>
    </row>
    <row r="12" spans="1:11" s="4" customFormat="1" ht="13.8">
      <c r="A12" s="81"/>
      <c r="B12" s="147" t="s">
        <v>12</v>
      </c>
      <c r="C12" s="127"/>
      <c r="D12" s="176"/>
      <c r="E12" s="68"/>
      <c r="F12" s="68"/>
      <c r="G12" s="68"/>
      <c r="H12" s="68"/>
      <c r="I12" s="68"/>
      <c r="J12" s="68"/>
      <c r="K12" s="68"/>
    </row>
    <row r="13" spans="1:11" s="9" customFormat="1" ht="13.8">
      <c r="A13" s="81"/>
      <c r="B13" s="147" t="s">
        <v>54</v>
      </c>
      <c r="C13" s="23" t="s">
        <v>9</v>
      </c>
      <c r="D13" s="176">
        <f>D9*1.02</f>
        <v>51.758879999999998</v>
      </c>
      <c r="E13" s="68"/>
      <c r="F13" s="68"/>
      <c r="G13" s="68"/>
      <c r="H13" s="68"/>
      <c r="I13" s="68"/>
      <c r="J13" s="68"/>
      <c r="K13" s="68"/>
    </row>
    <row r="14" spans="1:11" s="4" customFormat="1" ht="13.8">
      <c r="A14" s="81"/>
      <c r="B14" s="147" t="s">
        <v>14</v>
      </c>
      <c r="C14" s="127" t="s">
        <v>5</v>
      </c>
      <c r="D14" s="176">
        <f>D9</f>
        <v>50.744</v>
      </c>
      <c r="E14" s="68"/>
      <c r="F14" s="68"/>
      <c r="G14" s="68"/>
      <c r="H14" s="68"/>
      <c r="I14" s="68"/>
      <c r="J14" s="68"/>
      <c r="K14" s="68"/>
    </row>
    <row r="15" spans="1:11" s="4" customFormat="1" ht="27.6">
      <c r="A15" s="118">
        <f>A9+1</f>
        <v>2</v>
      </c>
      <c r="B15" s="172" t="s">
        <v>15</v>
      </c>
      <c r="C15" s="120" t="s">
        <v>9</v>
      </c>
      <c r="D15" s="178">
        <v>88.4</v>
      </c>
      <c r="E15" s="173"/>
      <c r="F15" s="68"/>
      <c r="G15" s="173"/>
      <c r="H15" s="173"/>
      <c r="I15" s="173"/>
      <c r="J15" s="173"/>
      <c r="K15" s="122"/>
    </row>
    <row r="16" spans="1:11" s="4" customFormat="1" ht="13.8">
      <c r="A16" s="81"/>
      <c r="B16" s="147" t="s">
        <v>11</v>
      </c>
      <c r="C16" s="23" t="s">
        <v>9</v>
      </c>
      <c r="D16" s="176">
        <f>D15</f>
        <v>88.4</v>
      </c>
      <c r="E16" s="68"/>
      <c r="F16" s="68"/>
      <c r="G16" s="68"/>
      <c r="H16" s="68"/>
      <c r="I16" s="68"/>
      <c r="J16" s="68"/>
      <c r="K16" s="68"/>
    </row>
    <row r="17" spans="1:11" s="4" customFormat="1" ht="13.8">
      <c r="A17" s="81"/>
      <c r="B17" s="147" t="s">
        <v>13</v>
      </c>
      <c r="C17" s="23" t="s">
        <v>5</v>
      </c>
      <c r="D17" s="176">
        <f>D15*0.5</f>
        <v>44.2</v>
      </c>
      <c r="E17" s="68"/>
      <c r="F17" s="68"/>
      <c r="G17" s="68"/>
      <c r="H17" s="68"/>
      <c r="I17" s="68"/>
      <c r="J17" s="68"/>
      <c r="K17" s="68"/>
    </row>
    <row r="18" spans="1:11" s="4" customFormat="1" ht="13.8">
      <c r="A18" s="81"/>
      <c r="B18" s="147" t="s">
        <v>12</v>
      </c>
      <c r="C18" s="23"/>
      <c r="D18" s="176"/>
      <c r="E18" s="68"/>
      <c r="F18" s="68"/>
      <c r="G18" s="68"/>
      <c r="H18" s="68"/>
      <c r="I18" s="68"/>
      <c r="J18" s="68"/>
      <c r="K18" s="68"/>
    </row>
    <row r="19" spans="1:11" s="4" customFormat="1" ht="13.8">
      <c r="A19" s="81"/>
      <c r="B19" s="147" t="s">
        <v>68</v>
      </c>
      <c r="C19" s="23" t="s">
        <v>9</v>
      </c>
      <c r="D19" s="176">
        <f>D15*1.02</f>
        <v>90.168000000000006</v>
      </c>
      <c r="E19" s="68"/>
      <c r="F19" s="68"/>
      <c r="G19" s="68"/>
      <c r="H19" s="68"/>
      <c r="I19" s="68"/>
      <c r="J19" s="68"/>
      <c r="K19" s="68"/>
    </row>
    <row r="20" spans="1:11" s="4" customFormat="1" ht="13.8">
      <c r="A20" s="81"/>
      <c r="B20" s="147" t="s">
        <v>80</v>
      </c>
      <c r="C20" s="23" t="s">
        <v>10</v>
      </c>
      <c r="D20" s="176">
        <f>80*D15*1.05/1000</f>
        <v>7.4256000000000002</v>
      </c>
      <c r="E20" s="68"/>
      <c r="F20" s="68"/>
      <c r="G20" s="68"/>
      <c r="H20" s="68"/>
      <c r="I20" s="68"/>
      <c r="J20" s="68"/>
      <c r="K20" s="68"/>
    </row>
    <row r="21" spans="1:11" s="4" customFormat="1" ht="13.8">
      <c r="A21" s="81"/>
      <c r="B21" s="147" t="s">
        <v>17</v>
      </c>
      <c r="C21" s="23" t="s">
        <v>9</v>
      </c>
      <c r="D21" s="176">
        <f>D15</f>
        <v>88.4</v>
      </c>
      <c r="E21" s="68"/>
      <c r="F21" s="68"/>
      <c r="G21" s="68"/>
      <c r="H21" s="68"/>
      <c r="I21" s="68"/>
      <c r="J21" s="68"/>
      <c r="K21" s="68"/>
    </row>
    <row r="22" spans="1:11" s="4" customFormat="1" ht="13.8">
      <c r="A22" s="81"/>
      <c r="B22" s="147" t="s">
        <v>22</v>
      </c>
      <c r="C22" s="23" t="s">
        <v>23</v>
      </c>
      <c r="D22" s="176">
        <f>D20*9</f>
        <v>66.830399999999997</v>
      </c>
      <c r="E22" s="68"/>
      <c r="F22" s="68"/>
      <c r="G22" s="68"/>
      <c r="H22" s="68"/>
      <c r="I22" s="68"/>
      <c r="J22" s="68"/>
      <c r="K22" s="68"/>
    </row>
    <row r="23" spans="1:11" s="4" customFormat="1" ht="13.8">
      <c r="A23" s="81"/>
      <c r="B23" s="147" t="s">
        <v>14</v>
      </c>
      <c r="C23" s="23" t="s">
        <v>9</v>
      </c>
      <c r="D23" s="176">
        <f>D15*0.4</f>
        <v>35.360000000000007</v>
      </c>
      <c r="E23" s="68"/>
      <c r="F23" s="68"/>
      <c r="G23" s="68"/>
      <c r="H23" s="68"/>
      <c r="I23" s="68"/>
      <c r="J23" s="68"/>
      <c r="K23" s="68"/>
    </row>
    <row r="24" spans="1:11" s="4" customFormat="1" ht="13.8">
      <c r="A24" s="118">
        <f>A15+1</f>
        <v>3</v>
      </c>
      <c r="B24" s="172" t="s">
        <v>63</v>
      </c>
      <c r="C24" s="120" t="s">
        <v>9</v>
      </c>
      <c r="D24" s="178">
        <v>31.248000000000001</v>
      </c>
      <c r="E24" s="173"/>
      <c r="F24" s="68"/>
      <c r="G24" s="173"/>
      <c r="H24" s="173"/>
      <c r="I24" s="173"/>
      <c r="J24" s="173"/>
      <c r="K24" s="122"/>
    </row>
    <row r="25" spans="1:11" s="4" customFormat="1" ht="13.8">
      <c r="A25" s="81"/>
      <c r="B25" s="147" t="s">
        <v>11</v>
      </c>
      <c r="C25" s="23" t="s">
        <v>9</v>
      </c>
      <c r="D25" s="176">
        <f>D24</f>
        <v>31.248000000000001</v>
      </c>
      <c r="E25" s="68"/>
      <c r="F25" s="68"/>
      <c r="G25" s="68"/>
      <c r="H25" s="68"/>
      <c r="I25" s="68"/>
      <c r="J25" s="68"/>
      <c r="K25" s="68"/>
    </row>
    <row r="26" spans="1:11" s="4" customFormat="1" ht="13.8">
      <c r="A26" s="81"/>
      <c r="B26" s="147" t="s">
        <v>30</v>
      </c>
      <c r="C26" s="23" t="s">
        <v>5</v>
      </c>
      <c r="D26" s="176">
        <f>D24*20</f>
        <v>624.96</v>
      </c>
      <c r="E26" s="68"/>
      <c r="F26" s="68"/>
      <c r="G26" s="68"/>
      <c r="H26" s="68"/>
      <c r="I26" s="68"/>
      <c r="J26" s="68"/>
      <c r="K26" s="68"/>
    </row>
    <row r="27" spans="1:11" s="4" customFormat="1" ht="13.8">
      <c r="A27" s="81"/>
      <c r="B27" s="147" t="s">
        <v>12</v>
      </c>
      <c r="C27" s="23"/>
      <c r="D27" s="176"/>
      <c r="E27" s="68"/>
      <c r="F27" s="68"/>
      <c r="G27" s="68"/>
      <c r="H27" s="68"/>
      <c r="I27" s="68"/>
      <c r="J27" s="68"/>
      <c r="K27" s="68"/>
    </row>
    <row r="28" spans="1:11" s="4" customFormat="1" ht="13.8">
      <c r="A28" s="81"/>
      <c r="B28" s="147" t="s">
        <v>68</v>
      </c>
      <c r="C28" s="23" t="s">
        <v>9</v>
      </c>
      <c r="D28" s="176">
        <f>D24*1.02</f>
        <v>31.872960000000003</v>
      </c>
      <c r="E28" s="68"/>
      <c r="F28" s="68"/>
      <c r="G28" s="68"/>
      <c r="H28" s="68"/>
      <c r="I28" s="68"/>
      <c r="J28" s="68"/>
      <c r="K28" s="68"/>
    </row>
    <row r="29" spans="1:11" s="4" customFormat="1" ht="13.8">
      <c r="A29" s="81"/>
      <c r="B29" s="147" t="s">
        <v>80</v>
      </c>
      <c r="C29" s="23" t="s">
        <v>10</v>
      </c>
      <c r="D29" s="176">
        <f>D24*140*1.05/1000</f>
        <v>4.5934559999999998</v>
      </c>
      <c r="E29" s="68"/>
      <c r="F29" s="68"/>
      <c r="G29" s="68"/>
      <c r="H29" s="68"/>
      <c r="I29" s="68"/>
      <c r="J29" s="68"/>
      <c r="K29" s="68"/>
    </row>
    <row r="30" spans="1:11" s="4" customFormat="1" ht="13.8">
      <c r="A30" s="81"/>
      <c r="B30" s="147" t="s">
        <v>17</v>
      </c>
      <c r="C30" s="23" t="s">
        <v>9</v>
      </c>
      <c r="D30" s="176">
        <f>D24</f>
        <v>31.248000000000001</v>
      </c>
      <c r="E30" s="68"/>
      <c r="F30" s="68"/>
      <c r="G30" s="68"/>
      <c r="H30" s="68"/>
      <c r="I30" s="68"/>
      <c r="J30" s="68"/>
      <c r="K30" s="68"/>
    </row>
    <row r="31" spans="1:11" s="4" customFormat="1" ht="13.8">
      <c r="A31" s="81"/>
      <c r="B31" s="147" t="s">
        <v>22</v>
      </c>
      <c r="C31" s="23" t="s">
        <v>23</v>
      </c>
      <c r="D31" s="176">
        <f>D29*9</f>
        <v>41.341104000000001</v>
      </c>
      <c r="E31" s="68"/>
      <c r="F31" s="68"/>
      <c r="G31" s="68"/>
      <c r="H31" s="68"/>
      <c r="I31" s="68"/>
      <c r="J31" s="68"/>
      <c r="K31" s="68"/>
    </row>
    <row r="32" spans="1:11" s="4" customFormat="1" ht="13.8">
      <c r="A32" s="81"/>
      <c r="B32" s="147" t="s">
        <v>14</v>
      </c>
      <c r="C32" s="23" t="s">
        <v>9</v>
      </c>
      <c r="D32" s="176">
        <f>D24</f>
        <v>31.248000000000001</v>
      </c>
      <c r="E32" s="68"/>
      <c r="F32" s="68"/>
      <c r="G32" s="68"/>
      <c r="H32" s="68"/>
      <c r="I32" s="68"/>
      <c r="J32" s="68"/>
      <c r="K32" s="68"/>
    </row>
    <row r="33" spans="1:11" s="4" customFormat="1" ht="13.8">
      <c r="A33" s="118">
        <f>A24+1</f>
        <v>4</v>
      </c>
      <c r="B33" s="172" t="s">
        <v>37</v>
      </c>
      <c r="C33" s="120" t="s">
        <v>31</v>
      </c>
      <c r="D33" s="178">
        <f>658+247</f>
        <v>905</v>
      </c>
      <c r="E33" s="173"/>
      <c r="F33" s="68"/>
      <c r="G33" s="173"/>
      <c r="H33" s="173"/>
      <c r="I33" s="173"/>
      <c r="J33" s="173"/>
      <c r="K33" s="122"/>
    </row>
    <row r="34" spans="1:11" s="4" customFormat="1" ht="13.8">
      <c r="A34" s="81"/>
      <c r="B34" s="147" t="s">
        <v>11</v>
      </c>
      <c r="C34" s="23" t="s">
        <v>31</v>
      </c>
      <c r="D34" s="176">
        <f>D33</f>
        <v>905</v>
      </c>
      <c r="E34" s="68"/>
      <c r="F34" s="68"/>
      <c r="G34" s="68"/>
      <c r="H34" s="68"/>
      <c r="I34" s="68"/>
      <c r="J34" s="68"/>
      <c r="K34" s="68"/>
    </row>
    <row r="35" spans="1:11" s="4" customFormat="1" ht="13.8">
      <c r="A35" s="81"/>
      <c r="B35" s="147" t="s">
        <v>12</v>
      </c>
      <c r="C35" s="23"/>
      <c r="D35" s="176"/>
      <c r="E35" s="68"/>
      <c r="F35" s="68"/>
      <c r="G35" s="68"/>
      <c r="H35" s="68"/>
      <c r="I35" s="68"/>
      <c r="J35" s="68"/>
      <c r="K35" s="68"/>
    </row>
    <row r="36" spans="1:11" s="4" customFormat="1" ht="13.8">
      <c r="A36" s="81"/>
      <c r="B36" s="147" t="s">
        <v>32</v>
      </c>
      <c r="C36" s="23" t="s">
        <v>23</v>
      </c>
      <c r="D36" s="176">
        <f>D33*0.65</f>
        <v>588.25</v>
      </c>
      <c r="E36" s="68"/>
      <c r="F36" s="68"/>
      <c r="G36" s="68"/>
      <c r="H36" s="68"/>
      <c r="I36" s="68"/>
      <c r="J36" s="68"/>
      <c r="K36" s="68"/>
    </row>
    <row r="37" spans="1:11" s="4" customFormat="1" ht="13.8">
      <c r="A37" s="81"/>
      <c r="B37" s="147" t="s">
        <v>13</v>
      </c>
      <c r="C37" s="23" t="s">
        <v>31</v>
      </c>
      <c r="D37" s="176">
        <f>D34*0.1</f>
        <v>90.5</v>
      </c>
      <c r="E37" s="68"/>
      <c r="F37" s="68"/>
      <c r="G37" s="68"/>
      <c r="H37" s="68"/>
      <c r="I37" s="68"/>
      <c r="J37" s="68"/>
      <c r="K37" s="68"/>
    </row>
    <row r="38" spans="1:11" s="4" customFormat="1" ht="27.6">
      <c r="A38" s="118">
        <f>A33+1</f>
        <v>5</v>
      </c>
      <c r="B38" s="172" t="s">
        <v>66</v>
      </c>
      <c r="C38" s="120" t="s">
        <v>9</v>
      </c>
      <c r="D38" s="178">
        <f>57.23+9.7</f>
        <v>66.929999999999993</v>
      </c>
      <c r="E38" s="173"/>
      <c r="F38" s="68"/>
      <c r="G38" s="173"/>
      <c r="H38" s="173"/>
      <c r="I38" s="173"/>
      <c r="J38" s="173"/>
      <c r="K38" s="122"/>
    </row>
    <row r="39" spans="1:11" s="4" customFormat="1" ht="13.8">
      <c r="A39" s="81"/>
      <c r="B39" s="147" t="s">
        <v>11</v>
      </c>
      <c r="C39" s="23" t="s">
        <v>9</v>
      </c>
      <c r="D39" s="176">
        <f>D38</f>
        <v>66.929999999999993</v>
      </c>
      <c r="E39" s="68"/>
      <c r="F39" s="68"/>
      <c r="G39" s="68"/>
      <c r="H39" s="68"/>
      <c r="I39" s="68"/>
      <c r="J39" s="68"/>
      <c r="K39" s="68"/>
    </row>
    <row r="40" spans="1:11" s="4" customFormat="1" ht="13.8">
      <c r="A40" s="81"/>
      <c r="B40" s="147" t="s">
        <v>67</v>
      </c>
      <c r="C40" s="23" t="s">
        <v>5</v>
      </c>
      <c r="D40" s="176">
        <f>D38*30</f>
        <v>2007.8999999999999</v>
      </c>
      <c r="E40" s="68"/>
      <c r="F40" s="68"/>
      <c r="G40" s="68"/>
      <c r="H40" s="68"/>
      <c r="I40" s="68"/>
      <c r="J40" s="68"/>
      <c r="K40" s="68"/>
    </row>
    <row r="41" spans="1:11" s="4" customFormat="1" ht="13.8">
      <c r="A41" s="81"/>
      <c r="B41" s="147" t="s">
        <v>12</v>
      </c>
      <c r="C41" s="23"/>
      <c r="D41" s="176"/>
      <c r="E41" s="68"/>
      <c r="F41" s="68"/>
      <c r="G41" s="68"/>
      <c r="H41" s="68"/>
      <c r="I41" s="68"/>
      <c r="J41" s="68"/>
      <c r="K41" s="68"/>
    </row>
    <row r="42" spans="1:11" s="4" customFormat="1" ht="13.8">
      <c r="A42" s="81"/>
      <c r="B42" s="147" t="s">
        <v>68</v>
      </c>
      <c r="C42" s="23" t="s">
        <v>9</v>
      </c>
      <c r="D42" s="176">
        <f>D38*1.02</f>
        <v>68.268599999999992</v>
      </c>
      <c r="E42" s="68"/>
      <c r="F42" s="68"/>
      <c r="G42" s="68"/>
      <c r="H42" s="68"/>
      <c r="I42" s="68"/>
      <c r="J42" s="68"/>
      <c r="K42" s="68"/>
    </row>
    <row r="43" spans="1:11" s="4" customFormat="1" ht="13.8">
      <c r="A43" s="81"/>
      <c r="B43" s="147" t="s">
        <v>69</v>
      </c>
      <c r="C43" s="23" t="s">
        <v>10</v>
      </c>
      <c r="D43" s="176">
        <f>(2104.86+376.04)*1.05/1000</f>
        <v>2.6049450000000003</v>
      </c>
      <c r="E43" s="68"/>
      <c r="F43" s="68"/>
      <c r="G43" s="68"/>
      <c r="H43" s="68"/>
      <c r="I43" s="68"/>
      <c r="J43" s="68"/>
      <c r="K43" s="68"/>
    </row>
    <row r="44" spans="1:11" s="4" customFormat="1" ht="13.8">
      <c r="A44" s="81"/>
      <c r="B44" s="147" t="s">
        <v>70</v>
      </c>
      <c r="C44" s="23" t="s">
        <v>10</v>
      </c>
      <c r="D44" s="176">
        <f>(1470+200)*1.05/1000</f>
        <v>1.7535000000000001</v>
      </c>
      <c r="E44" s="68"/>
      <c r="F44" s="68"/>
      <c r="G44" s="68"/>
      <c r="H44" s="68"/>
      <c r="I44" s="68"/>
      <c r="J44" s="68"/>
      <c r="K44" s="68"/>
    </row>
    <row r="45" spans="1:11" s="4" customFormat="1" ht="13.8">
      <c r="A45" s="81"/>
      <c r="B45" s="147" t="s">
        <v>71</v>
      </c>
      <c r="C45" s="23" t="s">
        <v>10</v>
      </c>
      <c r="D45" s="176">
        <f>(4979.52+948.48)*1.05/1000</f>
        <v>6.2244000000000002</v>
      </c>
      <c r="E45" s="68"/>
      <c r="F45" s="68"/>
      <c r="G45" s="68"/>
      <c r="H45" s="68"/>
      <c r="I45" s="68"/>
      <c r="J45" s="68"/>
      <c r="K45" s="68"/>
    </row>
    <row r="46" spans="1:11" s="4" customFormat="1" ht="13.8">
      <c r="A46" s="81"/>
      <c r="B46" s="147" t="s">
        <v>72</v>
      </c>
      <c r="C46" s="23" t="s">
        <v>10</v>
      </c>
      <c r="D46" s="176">
        <f>(2005.25+381.95)*1.05/1000</f>
        <v>2.5065599999999999</v>
      </c>
      <c r="E46" s="68"/>
      <c r="F46" s="68"/>
      <c r="G46" s="68"/>
      <c r="H46" s="68"/>
      <c r="I46" s="68"/>
      <c r="J46" s="68"/>
      <c r="K46" s="68"/>
    </row>
    <row r="47" spans="1:11" s="4" customFormat="1" ht="13.8">
      <c r="A47" s="81"/>
      <c r="B47" s="147" t="s">
        <v>73</v>
      </c>
      <c r="C47" s="23" t="s">
        <v>10</v>
      </c>
      <c r="D47" s="176">
        <f>(646.8+61.6)*1.05/1000</f>
        <v>0.74382000000000004</v>
      </c>
      <c r="E47" s="68"/>
      <c r="F47" s="68"/>
      <c r="G47" s="68"/>
      <c r="H47" s="68"/>
      <c r="I47" s="68"/>
      <c r="J47" s="68"/>
      <c r="K47" s="68"/>
    </row>
    <row r="48" spans="1:11" s="4" customFormat="1" ht="13.8">
      <c r="A48" s="81"/>
      <c r="B48" s="147" t="s">
        <v>22</v>
      </c>
      <c r="C48" s="23" t="s">
        <v>23</v>
      </c>
      <c r="D48" s="176">
        <f>(D43+D47)*9</f>
        <v>30.138885000000002</v>
      </c>
      <c r="E48" s="68"/>
      <c r="F48" s="68"/>
      <c r="G48" s="68"/>
      <c r="H48" s="68"/>
      <c r="I48" s="68"/>
      <c r="J48" s="68"/>
      <c r="K48" s="68"/>
    </row>
    <row r="49" spans="1:11" s="4" customFormat="1" ht="13.8">
      <c r="A49" s="81"/>
      <c r="B49" s="147" t="s">
        <v>17</v>
      </c>
      <c r="C49" s="23" t="s">
        <v>9</v>
      </c>
      <c r="D49" s="176">
        <f>D38</f>
        <v>66.929999999999993</v>
      </c>
      <c r="E49" s="68"/>
      <c r="F49" s="68"/>
      <c r="G49" s="68"/>
      <c r="H49" s="68"/>
      <c r="I49" s="68"/>
      <c r="J49" s="68"/>
      <c r="K49" s="68"/>
    </row>
    <row r="50" spans="1:11" s="4" customFormat="1" ht="13.8">
      <c r="A50" s="81"/>
      <c r="B50" s="147" t="s">
        <v>14</v>
      </c>
      <c r="C50" s="23" t="s">
        <v>5</v>
      </c>
      <c r="D50" s="176">
        <f>D38</f>
        <v>66.929999999999993</v>
      </c>
      <c r="E50" s="68"/>
      <c r="F50" s="68"/>
      <c r="G50" s="68"/>
      <c r="H50" s="68"/>
      <c r="I50" s="68"/>
      <c r="J50" s="68"/>
      <c r="K50" s="68"/>
    </row>
    <row r="51" spans="1:11" s="4" customFormat="1" ht="13.8">
      <c r="A51" s="118">
        <f>A38+1</f>
        <v>6</v>
      </c>
      <c r="B51" s="172" t="s">
        <v>91</v>
      </c>
      <c r="C51" s="120" t="s">
        <v>9</v>
      </c>
      <c r="D51" s="178">
        <v>26.408000000000001</v>
      </c>
      <c r="E51" s="173"/>
      <c r="F51" s="68"/>
      <c r="G51" s="173"/>
      <c r="H51" s="173"/>
      <c r="I51" s="173"/>
      <c r="J51" s="173"/>
      <c r="K51" s="122"/>
    </row>
    <row r="52" spans="1:11" s="4" customFormat="1" ht="13.8">
      <c r="A52" s="81"/>
      <c r="B52" s="147" t="s">
        <v>11</v>
      </c>
      <c r="C52" s="23" t="s">
        <v>9</v>
      </c>
      <c r="D52" s="176">
        <f>D51</f>
        <v>26.408000000000001</v>
      </c>
      <c r="E52" s="68"/>
      <c r="F52" s="68"/>
      <c r="G52" s="68"/>
      <c r="H52" s="68"/>
      <c r="I52" s="68"/>
      <c r="J52" s="68"/>
      <c r="K52" s="68"/>
    </row>
    <row r="53" spans="1:11" s="4" customFormat="1" ht="13.8">
      <c r="A53" s="81"/>
      <c r="B53" s="147" t="s">
        <v>13</v>
      </c>
      <c r="C53" s="23" t="s">
        <v>5</v>
      </c>
      <c r="D53" s="176">
        <f>D51</f>
        <v>26.408000000000001</v>
      </c>
      <c r="E53" s="68"/>
      <c r="F53" s="68"/>
      <c r="G53" s="68"/>
      <c r="H53" s="68"/>
      <c r="I53" s="68"/>
      <c r="J53" s="68"/>
      <c r="K53" s="68"/>
    </row>
    <row r="54" spans="1:11" s="4" customFormat="1" ht="13.8">
      <c r="A54" s="81"/>
      <c r="B54" s="147" t="s">
        <v>12</v>
      </c>
      <c r="C54" s="23"/>
      <c r="D54" s="176"/>
      <c r="E54" s="68"/>
      <c r="F54" s="68"/>
      <c r="G54" s="68"/>
      <c r="H54" s="68"/>
      <c r="I54" s="68"/>
      <c r="J54" s="68"/>
      <c r="K54" s="68"/>
    </row>
    <row r="55" spans="1:11" s="4" customFormat="1" ht="13.8">
      <c r="A55" s="81"/>
      <c r="B55" s="147" t="s">
        <v>16</v>
      </c>
      <c r="C55" s="23" t="s">
        <v>9</v>
      </c>
      <c r="D55" s="176">
        <f>D51*1.02</f>
        <v>26.936160000000001</v>
      </c>
      <c r="E55" s="68"/>
      <c r="F55" s="68"/>
      <c r="G55" s="68"/>
      <c r="H55" s="68"/>
      <c r="I55" s="68"/>
      <c r="J55" s="68"/>
      <c r="K55" s="68"/>
    </row>
    <row r="56" spans="1:11" s="4" customFormat="1" ht="13.8">
      <c r="A56" s="81"/>
      <c r="B56" s="147" t="s">
        <v>38</v>
      </c>
      <c r="C56" s="23" t="s">
        <v>10</v>
      </c>
      <c r="D56" s="176">
        <f>D51*45/1000</f>
        <v>1.1883600000000001</v>
      </c>
      <c r="E56" s="68"/>
      <c r="F56" s="68"/>
      <c r="G56" s="68"/>
      <c r="H56" s="68"/>
      <c r="I56" s="68"/>
      <c r="J56" s="68"/>
      <c r="K56" s="68"/>
    </row>
    <row r="57" spans="1:11" s="4" customFormat="1" ht="13.8">
      <c r="A57" s="81"/>
      <c r="B57" s="147" t="s">
        <v>29</v>
      </c>
      <c r="C57" s="23" t="s">
        <v>10</v>
      </c>
      <c r="D57" s="176">
        <f>D51*110/1000</f>
        <v>2.9048799999999999</v>
      </c>
      <c r="E57" s="68"/>
      <c r="F57" s="68"/>
      <c r="G57" s="68"/>
      <c r="H57" s="68"/>
      <c r="I57" s="68"/>
      <c r="J57" s="68"/>
      <c r="K57" s="68"/>
    </row>
    <row r="58" spans="1:11" s="4" customFormat="1" ht="13.8">
      <c r="A58" s="81"/>
      <c r="B58" s="147" t="s">
        <v>17</v>
      </c>
      <c r="C58" s="23" t="s">
        <v>9</v>
      </c>
      <c r="D58" s="176">
        <f>D51</f>
        <v>26.408000000000001</v>
      </c>
      <c r="E58" s="68"/>
      <c r="F58" s="68"/>
      <c r="G58" s="68"/>
      <c r="H58" s="68"/>
      <c r="I58" s="68"/>
      <c r="J58" s="68"/>
      <c r="K58" s="68"/>
    </row>
    <row r="59" spans="1:11" s="4" customFormat="1" ht="13.8">
      <c r="A59" s="81"/>
      <c r="B59" s="147" t="s">
        <v>22</v>
      </c>
      <c r="C59" s="23" t="s">
        <v>23</v>
      </c>
      <c r="D59" s="176">
        <f>(D57+D56)*9</f>
        <v>36.83916</v>
      </c>
      <c r="E59" s="68"/>
      <c r="F59" s="68"/>
      <c r="G59" s="68"/>
      <c r="H59" s="68"/>
      <c r="I59" s="68"/>
      <c r="J59" s="68"/>
      <c r="K59" s="68"/>
    </row>
    <row r="60" spans="1:11" s="4" customFormat="1" ht="13.8">
      <c r="A60" s="81"/>
      <c r="B60" s="147" t="s">
        <v>14</v>
      </c>
      <c r="C60" s="23" t="s">
        <v>5</v>
      </c>
      <c r="D60" s="176">
        <f>D51</f>
        <v>26.408000000000001</v>
      </c>
      <c r="E60" s="68"/>
      <c r="F60" s="68"/>
      <c r="G60" s="68"/>
      <c r="H60" s="68"/>
      <c r="I60" s="68"/>
      <c r="J60" s="68"/>
      <c r="K60" s="68"/>
    </row>
    <row r="61" spans="1:11" s="4" customFormat="1" ht="13.8">
      <c r="A61" s="118">
        <f>A51+1</f>
        <v>7</v>
      </c>
      <c r="B61" s="172" t="s">
        <v>92</v>
      </c>
      <c r="C61" s="120" t="s">
        <v>9</v>
      </c>
      <c r="D61" s="178">
        <f>104.601</f>
        <v>104.601</v>
      </c>
      <c r="E61" s="173"/>
      <c r="F61" s="68"/>
      <c r="G61" s="173"/>
      <c r="H61" s="173"/>
      <c r="I61" s="173"/>
      <c r="J61" s="173"/>
      <c r="K61" s="122"/>
    </row>
    <row r="62" spans="1:11" s="4" customFormat="1" ht="13.8">
      <c r="A62" s="81"/>
      <c r="B62" s="147" t="s">
        <v>11</v>
      </c>
      <c r="C62" s="23" t="s">
        <v>9</v>
      </c>
      <c r="D62" s="176">
        <f>D61</f>
        <v>104.601</v>
      </c>
      <c r="E62" s="68"/>
      <c r="F62" s="68"/>
      <c r="G62" s="68"/>
      <c r="H62" s="68"/>
      <c r="I62" s="68"/>
      <c r="J62" s="68"/>
      <c r="K62" s="68"/>
    </row>
    <row r="63" spans="1:11" s="4" customFormat="1" ht="13.8">
      <c r="A63" s="81"/>
      <c r="B63" s="147" t="s">
        <v>13</v>
      </c>
      <c r="C63" s="23" t="s">
        <v>5</v>
      </c>
      <c r="D63" s="176">
        <f>D61</f>
        <v>104.601</v>
      </c>
      <c r="E63" s="68"/>
      <c r="F63" s="68"/>
      <c r="G63" s="68"/>
      <c r="H63" s="68"/>
      <c r="I63" s="68"/>
      <c r="J63" s="68"/>
      <c r="K63" s="68"/>
    </row>
    <row r="64" spans="1:11" s="4" customFormat="1" ht="13.8">
      <c r="A64" s="81"/>
      <c r="B64" s="147" t="s">
        <v>12</v>
      </c>
      <c r="C64" s="23"/>
      <c r="D64" s="176"/>
      <c r="E64" s="68"/>
      <c r="F64" s="68"/>
      <c r="G64" s="68"/>
      <c r="H64" s="68"/>
      <c r="I64" s="68"/>
      <c r="J64" s="68"/>
      <c r="K64" s="68"/>
    </row>
    <row r="65" spans="1:11" s="4" customFormat="1" ht="13.8">
      <c r="A65" s="81"/>
      <c r="B65" s="147" t="s">
        <v>16</v>
      </c>
      <c r="C65" s="23" t="s">
        <v>9</v>
      </c>
      <c r="D65" s="176">
        <f>D61*1.02</f>
        <v>106.69302</v>
      </c>
      <c r="E65" s="68"/>
      <c r="F65" s="68"/>
      <c r="G65" s="68"/>
      <c r="H65" s="68"/>
      <c r="I65" s="68"/>
      <c r="J65" s="68"/>
      <c r="K65" s="68"/>
    </row>
    <row r="66" spans="1:11" s="4" customFormat="1" ht="13.8">
      <c r="A66" s="81"/>
      <c r="B66" s="147" t="s">
        <v>38</v>
      </c>
      <c r="C66" s="23" t="s">
        <v>10</v>
      </c>
      <c r="D66" s="176">
        <f>D61*45/1000</f>
        <v>4.7070449999999999</v>
      </c>
      <c r="E66" s="68"/>
      <c r="F66" s="68"/>
      <c r="G66" s="68"/>
      <c r="H66" s="68"/>
      <c r="I66" s="68"/>
      <c r="J66" s="68"/>
      <c r="K66" s="68"/>
    </row>
    <row r="67" spans="1:11" s="4" customFormat="1" ht="13.8">
      <c r="A67" s="81"/>
      <c r="B67" s="147" t="s">
        <v>29</v>
      </c>
      <c r="C67" s="23" t="s">
        <v>10</v>
      </c>
      <c r="D67" s="176">
        <f>D61*110/1000</f>
        <v>11.506110000000001</v>
      </c>
      <c r="E67" s="68"/>
      <c r="F67" s="68"/>
      <c r="G67" s="68"/>
      <c r="H67" s="68"/>
      <c r="I67" s="68"/>
      <c r="J67" s="68"/>
      <c r="K67" s="68"/>
    </row>
    <row r="68" spans="1:11" s="4" customFormat="1" ht="13.8">
      <c r="A68" s="81"/>
      <c r="B68" s="147" t="s">
        <v>17</v>
      </c>
      <c r="C68" s="23" t="s">
        <v>9</v>
      </c>
      <c r="D68" s="176">
        <f>D61</f>
        <v>104.601</v>
      </c>
      <c r="E68" s="68"/>
      <c r="F68" s="68"/>
      <c r="G68" s="68"/>
      <c r="H68" s="68"/>
      <c r="I68" s="68"/>
      <c r="J68" s="68"/>
      <c r="K68" s="68"/>
    </row>
    <row r="69" spans="1:11" s="4" customFormat="1" ht="13.8">
      <c r="A69" s="81"/>
      <c r="B69" s="147" t="s">
        <v>22</v>
      </c>
      <c r="C69" s="23" t="s">
        <v>23</v>
      </c>
      <c r="D69" s="176">
        <f>(D67+D66)*9</f>
        <v>145.918395</v>
      </c>
      <c r="E69" s="68"/>
      <c r="F69" s="68"/>
      <c r="G69" s="68"/>
      <c r="H69" s="68"/>
      <c r="I69" s="68"/>
      <c r="J69" s="68"/>
      <c r="K69" s="68"/>
    </row>
    <row r="70" spans="1:11" s="4" customFormat="1" ht="13.8">
      <c r="A70" s="81"/>
      <c r="B70" s="147" t="s">
        <v>14</v>
      </c>
      <c r="C70" s="23" t="s">
        <v>5</v>
      </c>
      <c r="D70" s="176">
        <f>D61</f>
        <v>104.601</v>
      </c>
      <c r="E70" s="68"/>
      <c r="F70" s="68"/>
      <c r="G70" s="68"/>
      <c r="H70" s="68"/>
      <c r="I70" s="68"/>
      <c r="J70" s="68"/>
      <c r="K70" s="68"/>
    </row>
    <row r="71" spans="1:11" s="4" customFormat="1" ht="27.6">
      <c r="A71" s="118">
        <f>A61+1</f>
        <v>8</v>
      </c>
      <c r="B71" s="172" t="s">
        <v>74</v>
      </c>
      <c r="C71" s="120" t="s">
        <v>9</v>
      </c>
      <c r="D71" s="178">
        <f>38.88+9.9</f>
        <v>48.78</v>
      </c>
      <c r="E71" s="173"/>
      <c r="F71" s="68"/>
      <c r="G71" s="173"/>
      <c r="H71" s="173"/>
      <c r="I71" s="173"/>
      <c r="J71" s="173"/>
      <c r="K71" s="122"/>
    </row>
    <row r="72" spans="1:11" s="4" customFormat="1" ht="13.8">
      <c r="A72" s="81"/>
      <c r="B72" s="147" t="s">
        <v>11</v>
      </c>
      <c r="C72" s="23" t="s">
        <v>9</v>
      </c>
      <c r="D72" s="176">
        <f>D71</f>
        <v>48.78</v>
      </c>
      <c r="E72" s="68"/>
      <c r="F72" s="68"/>
      <c r="G72" s="68"/>
      <c r="H72" s="68"/>
      <c r="I72" s="68"/>
      <c r="J72" s="68"/>
      <c r="K72" s="68"/>
    </row>
    <row r="73" spans="1:11" s="4" customFormat="1" ht="13.8">
      <c r="A73" s="81"/>
      <c r="B73" s="147" t="s">
        <v>67</v>
      </c>
      <c r="C73" s="23" t="s">
        <v>5</v>
      </c>
      <c r="D73" s="176">
        <f>D71*60</f>
        <v>2926.8</v>
      </c>
      <c r="E73" s="68"/>
      <c r="F73" s="68"/>
      <c r="G73" s="68"/>
      <c r="H73" s="68"/>
      <c r="I73" s="68"/>
      <c r="J73" s="68"/>
      <c r="K73" s="68"/>
    </row>
    <row r="74" spans="1:11" s="4" customFormat="1" ht="13.8">
      <c r="A74" s="81"/>
      <c r="B74" s="147" t="s">
        <v>12</v>
      </c>
      <c r="C74" s="23"/>
      <c r="D74" s="176"/>
      <c r="E74" s="68"/>
      <c r="F74" s="68"/>
      <c r="G74" s="68"/>
      <c r="H74" s="68"/>
      <c r="I74" s="68"/>
      <c r="J74" s="68"/>
      <c r="K74" s="68"/>
    </row>
    <row r="75" spans="1:11" s="4" customFormat="1" ht="13.8">
      <c r="A75" s="81"/>
      <c r="B75" s="147" t="s">
        <v>68</v>
      </c>
      <c r="C75" s="23" t="s">
        <v>9</v>
      </c>
      <c r="D75" s="176">
        <f>D71*1.02</f>
        <v>49.755600000000001</v>
      </c>
      <c r="E75" s="68"/>
      <c r="F75" s="68"/>
      <c r="G75" s="68"/>
      <c r="H75" s="68"/>
      <c r="I75" s="68"/>
      <c r="J75" s="68"/>
      <c r="K75" s="68"/>
    </row>
    <row r="76" spans="1:11" s="4" customFormat="1" ht="13.8">
      <c r="A76" s="81"/>
      <c r="B76" s="147" t="s">
        <v>40</v>
      </c>
      <c r="C76" s="23" t="s">
        <v>10</v>
      </c>
      <c r="D76" s="176">
        <f>220*1.05/1000</f>
        <v>0.23100000000000001</v>
      </c>
      <c r="E76" s="68"/>
      <c r="F76" s="68"/>
      <c r="G76" s="68"/>
      <c r="H76" s="68"/>
      <c r="I76" s="68"/>
      <c r="J76" s="68"/>
      <c r="K76" s="68"/>
    </row>
    <row r="77" spans="1:11" s="4" customFormat="1" ht="13.8">
      <c r="A77" s="81"/>
      <c r="B77" s="147" t="s">
        <v>69</v>
      </c>
      <c r="C77" s="23" t="s">
        <v>10</v>
      </c>
      <c r="D77" s="176">
        <f>(180*9+300*2)*1.05/1000</f>
        <v>2.331</v>
      </c>
      <c r="E77" s="68"/>
      <c r="F77" s="68"/>
      <c r="G77" s="68"/>
      <c r="H77" s="68"/>
      <c r="I77" s="68"/>
      <c r="J77" s="68"/>
      <c r="K77" s="68"/>
    </row>
    <row r="78" spans="1:11" s="4" customFormat="1" ht="13.8">
      <c r="A78" s="81"/>
      <c r="B78" s="147" t="s">
        <v>75</v>
      </c>
      <c r="C78" s="23" t="s">
        <v>10</v>
      </c>
      <c r="D78" s="176">
        <f>(25*9+30*2)*1.05/1000</f>
        <v>0.29925000000000002</v>
      </c>
      <c r="E78" s="68"/>
      <c r="F78" s="68"/>
      <c r="G78" s="68"/>
      <c r="H78" s="68"/>
      <c r="I78" s="68"/>
      <c r="J78" s="68"/>
      <c r="K78" s="68"/>
    </row>
    <row r="79" spans="1:11" s="4" customFormat="1" ht="13.8">
      <c r="A79" s="81"/>
      <c r="B79" s="147" t="s">
        <v>76</v>
      </c>
      <c r="C79" s="23" t="s">
        <v>10</v>
      </c>
      <c r="D79" s="176">
        <f>(20*9+70*2)*1.05/1000</f>
        <v>0.33600000000000002</v>
      </c>
      <c r="E79" s="68"/>
      <c r="F79" s="68"/>
      <c r="G79" s="68"/>
      <c r="H79" s="68"/>
      <c r="I79" s="68"/>
      <c r="J79" s="68"/>
      <c r="K79" s="68"/>
    </row>
    <row r="80" spans="1:11" s="4" customFormat="1" ht="13.8">
      <c r="A80" s="81"/>
      <c r="B80" s="147" t="s">
        <v>70</v>
      </c>
      <c r="C80" s="23" t="s">
        <v>10</v>
      </c>
      <c r="D80" s="176">
        <f>(158*9+489*2)*1.05/1000</f>
        <v>2.52</v>
      </c>
      <c r="E80" s="68"/>
      <c r="F80" s="68"/>
      <c r="G80" s="68"/>
      <c r="H80" s="68"/>
      <c r="I80" s="68"/>
      <c r="J80" s="68"/>
      <c r="K80" s="68"/>
    </row>
    <row r="81" spans="1:11" s="4" customFormat="1" ht="13.8">
      <c r="A81" s="81"/>
      <c r="B81" s="147" t="s">
        <v>72</v>
      </c>
      <c r="C81" s="23" t="s">
        <v>10</v>
      </c>
      <c r="D81" s="176">
        <f>(477*9+358*2)*1.05/1000</f>
        <v>5.2594500000000002</v>
      </c>
      <c r="E81" s="68"/>
      <c r="F81" s="68"/>
      <c r="G81" s="68"/>
      <c r="H81" s="68"/>
      <c r="I81" s="68"/>
      <c r="J81" s="68"/>
      <c r="K81" s="68"/>
    </row>
    <row r="82" spans="1:11" s="4" customFormat="1" ht="13.8">
      <c r="A82" s="81"/>
      <c r="B82" s="147" t="s">
        <v>22</v>
      </c>
      <c r="C82" s="23" t="s">
        <v>23</v>
      </c>
      <c r="D82" s="176">
        <f>(D81+D80+D79+D78+D77)*9</f>
        <v>96.711300000000008</v>
      </c>
      <c r="E82" s="68"/>
      <c r="F82" s="68"/>
      <c r="G82" s="68"/>
      <c r="H82" s="68"/>
      <c r="I82" s="68"/>
      <c r="J82" s="68"/>
      <c r="K82" s="68"/>
    </row>
    <row r="83" spans="1:11" s="4" customFormat="1" ht="13.8">
      <c r="A83" s="81"/>
      <c r="B83" s="147" t="s">
        <v>17</v>
      </c>
      <c r="C83" s="23" t="s">
        <v>9</v>
      </c>
      <c r="D83" s="176">
        <f>D71</f>
        <v>48.78</v>
      </c>
      <c r="E83" s="68"/>
      <c r="F83" s="68"/>
      <c r="G83" s="68"/>
      <c r="H83" s="68"/>
      <c r="I83" s="68"/>
      <c r="J83" s="68"/>
      <c r="K83" s="68"/>
    </row>
    <row r="84" spans="1:11" s="4" customFormat="1" ht="13.8">
      <c r="A84" s="81"/>
      <c r="B84" s="147" t="s">
        <v>14</v>
      </c>
      <c r="C84" s="23" t="s">
        <v>5</v>
      </c>
      <c r="D84" s="176">
        <f>D71</f>
        <v>48.78</v>
      </c>
      <c r="E84" s="68"/>
      <c r="F84" s="68"/>
      <c r="G84" s="68"/>
      <c r="H84" s="68"/>
      <c r="I84" s="68"/>
      <c r="J84" s="68"/>
      <c r="K84" s="68"/>
    </row>
    <row r="85" spans="1:11" s="4" customFormat="1" ht="27.6">
      <c r="A85" s="118">
        <f>A71+1</f>
        <v>9</v>
      </c>
      <c r="B85" s="172" t="s">
        <v>77</v>
      </c>
      <c r="C85" s="120" t="s">
        <v>9</v>
      </c>
      <c r="D85" s="178">
        <f>5.21+37.47</f>
        <v>42.68</v>
      </c>
      <c r="E85" s="173"/>
      <c r="F85" s="68"/>
      <c r="G85" s="173"/>
      <c r="H85" s="173"/>
      <c r="I85" s="173"/>
      <c r="J85" s="173"/>
      <c r="K85" s="122"/>
    </row>
    <row r="86" spans="1:11" s="4" customFormat="1" ht="13.8">
      <c r="A86" s="81"/>
      <c r="B86" s="147" t="s">
        <v>11</v>
      </c>
      <c r="C86" s="23" t="s">
        <v>9</v>
      </c>
      <c r="D86" s="176">
        <f>D85</f>
        <v>42.68</v>
      </c>
      <c r="E86" s="68"/>
      <c r="F86" s="68"/>
      <c r="G86" s="68"/>
      <c r="H86" s="68"/>
      <c r="I86" s="68"/>
      <c r="J86" s="68"/>
      <c r="K86" s="68"/>
    </row>
    <row r="87" spans="1:11" s="4" customFormat="1" ht="13.8">
      <c r="A87" s="81"/>
      <c r="B87" s="147" t="s">
        <v>67</v>
      </c>
      <c r="C87" s="23" t="s">
        <v>5</v>
      </c>
      <c r="D87" s="176">
        <f>D85*40</f>
        <v>1707.2</v>
      </c>
      <c r="E87" s="68"/>
      <c r="F87" s="68"/>
      <c r="G87" s="68"/>
      <c r="H87" s="68"/>
      <c r="I87" s="68"/>
      <c r="J87" s="68"/>
      <c r="K87" s="68"/>
    </row>
    <row r="88" spans="1:11" s="4" customFormat="1" ht="13.8">
      <c r="A88" s="81"/>
      <c r="B88" s="147" t="s">
        <v>12</v>
      </c>
      <c r="C88" s="23"/>
      <c r="D88" s="176"/>
      <c r="E88" s="68"/>
      <c r="F88" s="68"/>
      <c r="G88" s="68"/>
      <c r="H88" s="68"/>
      <c r="I88" s="68"/>
      <c r="J88" s="68"/>
      <c r="K88" s="68"/>
    </row>
    <row r="89" spans="1:11" s="4" customFormat="1" ht="13.8">
      <c r="A89" s="81"/>
      <c r="B89" s="147" t="s">
        <v>68</v>
      </c>
      <c r="C89" s="23" t="s">
        <v>9</v>
      </c>
      <c r="D89" s="176">
        <f>D85*1.02</f>
        <v>43.5336</v>
      </c>
      <c r="E89" s="68"/>
      <c r="F89" s="68"/>
      <c r="G89" s="68"/>
      <c r="H89" s="68"/>
      <c r="I89" s="68"/>
      <c r="J89" s="68"/>
      <c r="K89" s="68"/>
    </row>
    <row r="90" spans="1:11" s="4" customFormat="1" ht="13.8">
      <c r="A90" s="81"/>
      <c r="B90" s="147" t="s">
        <v>40</v>
      </c>
      <c r="C90" s="23" t="s">
        <v>10</v>
      </c>
      <c r="D90" s="176">
        <f>213.9*1.05/1000</f>
        <v>0.22459500000000002</v>
      </c>
      <c r="E90" s="68"/>
      <c r="F90" s="68"/>
      <c r="G90" s="68"/>
      <c r="H90" s="68"/>
      <c r="I90" s="68"/>
      <c r="J90" s="68"/>
      <c r="K90" s="68"/>
    </row>
    <row r="91" spans="1:11" s="4" customFormat="1" ht="13.8">
      <c r="A91" s="81"/>
      <c r="B91" s="147" t="s">
        <v>69</v>
      </c>
      <c r="C91" s="23" t="s">
        <v>10</v>
      </c>
      <c r="D91" s="176">
        <f>(37.13+1513)*1.05/1000</f>
        <v>1.6276365000000004</v>
      </c>
      <c r="E91" s="68"/>
      <c r="F91" s="68"/>
      <c r="G91" s="68"/>
      <c r="H91" s="68"/>
      <c r="I91" s="68"/>
      <c r="J91" s="68"/>
      <c r="K91" s="68"/>
    </row>
    <row r="92" spans="1:11" s="4" customFormat="1" ht="13.8">
      <c r="A92" s="81"/>
      <c r="B92" s="147" t="s">
        <v>75</v>
      </c>
      <c r="C92" s="23" t="s">
        <v>10</v>
      </c>
      <c r="D92" s="176">
        <f>(27.15+1068)*1.05/1000</f>
        <v>1.1499075000000003</v>
      </c>
      <c r="E92" s="68"/>
      <c r="F92" s="68"/>
      <c r="G92" s="68"/>
      <c r="H92" s="68"/>
      <c r="I92" s="68"/>
      <c r="J92" s="68"/>
      <c r="K92" s="68"/>
    </row>
    <row r="93" spans="1:11" s="4" customFormat="1" ht="13.8">
      <c r="A93" s="81"/>
      <c r="B93" s="147" t="s">
        <v>78</v>
      </c>
      <c r="C93" s="23" t="s">
        <v>10</v>
      </c>
      <c r="D93" s="176">
        <f>(213.12)*1.05/1000</f>
        <v>0.223776</v>
      </c>
      <c r="E93" s="68"/>
      <c r="F93" s="68"/>
      <c r="G93" s="68"/>
      <c r="H93" s="68"/>
      <c r="I93" s="68"/>
      <c r="J93" s="68"/>
      <c r="K93" s="68"/>
    </row>
    <row r="94" spans="1:11" s="4" customFormat="1" ht="13.8">
      <c r="A94" s="81"/>
      <c r="B94" s="147" t="s">
        <v>76</v>
      </c>
      <c r="C94" s="23" t="s">
        <v>10</v>
      </c>
      <c r="D94" s="176">
        <f>(459.04)*1.05/1000</f>
        <v>0.48199200000000003</v>
      </c>
      <c r="E94" s="68"/>
      <c r="F94" s="68"/>
      <c r="G94" s="68"/>
      <c r="H94" s="68"/>
      <c r="I94" s="68"/>
      <c r="J94" s="68"/>
      <c r="K94" s="68"/>
    </row>
    <row r="95" spans="1:11" s="4" customFormat="1" ht="13.8">
      <c r="A95" s="81"/>
      <c r="B95" s="147" t="s">
        <v>71</v>
      </c>
      <c r="C95" s="23" t="s">
        <v>10</v>
      </c>
      <c r="D95" s="176">
        <f>(5275.92)*1.05/1000</f>
        <v>5.5397160000000003</v>
      </c>
      <c r="E95" s="68"/>
      <c r="F95" s="68"/>
      <c r="G95" s="68"/>
      <c r="H95" s="68"/>
      <c r="I95" s="68"/>
      <c r="J95" s="68"/>
      <c r="K95" s="68"/>
    </row>
    <row r="96" spans="1:11" s="4" customFormat="1" ht="13.8">
      <c r="A96" s="81"/>
      <c r="B96" s="147" t="s">
        <v>22</v>
      </c>
      <c r="C96" s="23" t="s">
        <v>23</v>
      </c>
      <c r="D96" s="176">
        <f>(D95+D94+D93+D92+D91+D90)*9</f>
        <v>83.228607000000011</v>
      </c>
      <c r="E96" s="68"/>
      <c r="F96" s="68"/>
      <c r="G96" s="68"/>
      <c r="H96" s="68"/>
      <c r="I96" s="68"/>
      <c r="J96" s="68"/>
      <c r="K96" s="68"/>
    </row>
    <row r="97" spans="1:11" s="4" customFormat="1" ht="13.8">
      <c r="A97" s="81"/>
      <c r="B97" s="147" t="s">
        <v>17</v>
      </c>
      <c r="C97" s="23" t="s">
        <v>9</v>
      </c>
      <c r="D97" s="176">
        <f>D85</f>
        <v>42.68</v>
      </c>
      <c r="E97" s="68"/>
      <c r="F97" s="68"/>
      <c r="G97" s="68"/>
      <c r="H97" s="68"/>
      <c r="I97" s="68"/>
      <c r="J97" s="68"/>
      <c r="K97" s="68"/>
    </row>
    <row r="98" spans="1:11" s="4" customFormat="1" ht="13.8">
      <c r="A98" s="81"/>
      <c r="B98" s="147" t="s">
        <v>14</v>
      </c>
      <c r="C98" s="23" t="s">
        <v>5</v>
      </c>
      <c r="D98" s="176">
        <f>D85</f>
        <v>42.68</v>
      </c>
      <c r="E98" s="68"/>
      <c r="F98" s="68"/>
      <c r="G98" s="68"/>
      <c r="H98" s="68"/>
      <c r="I98" s="68"/>
      <c r="J98" s="68"/>
      <c r="K98" s="68"/>
    </row>
    <row r="99" spans="1:11" s="4" customFormat="1" ht="27.6">
      <c r="A99" s="118">
        <f>A85+1</f>
        <v>10</v>
      </c>
      <c r="B99" s="172" t="s">
        <v>79</v>
      </c>
      <c r="C99" s="120" t="s">
        <v>9</v>
      </c>
      <c r="D99" s="178">
        <v>5.76</v>
      </c>
      <c r="E99" s="173"/>
      <c r="F99" s="68"/>
      <c r="G99" s="173"/>
      <c r="H99" s="173"/>
      <c r="I99" s="173"/>
      <c r="J99" s="173"/>
      <c r="K99" s="122"/>
    </row>
    <row r="100" spans="1:11" s="4" customFormat="1" ht="13.8">
      <c r="A100" s="81"/>
      <c r="B100" s="147" t="s">
        <v>11</v>
      </c>
      <c r="C100" s="23" t="s">
        <v>9</v>
      </c>
      <c r="D100" s="176">
        <f>D99</f>
        <v>5.76</v>
      </c>
      <c r="E100" s="68"/>
      <c r="F100" s="68"/>
      <c r="G100" s="68"/>
      <c r="H100" s="68"/>
      <c r="I100" s="68"/>
      <c r="J100" s="68"/>
      <c r="K100" s="68"/>
    </row>
    <row r="101" spans="1:11" s="4" customFormat="1" ht="13.8">
      <c r="A101" s="81"/>
      <c r="B101" s="147" t="s">
        <v>67</v>
      </c>
      <c r="C101" s="23" t="s">
        <v>5</v>
      </c>
      <c r="D101" s="176">
        <f>D99*20</f>
        <v>115.19999999999999</v>
      </c>
      <c r="E101" s="68"/>
      <c r="F101" s="68"/>
      <c r="G101" s="68"/>
      <c r="H101" s="68"/>
      <c r="I101" s="68"/>
      <c r="J101" s="68"/>
      <c r="K101" s="68"/>
    </row>
    <row r="102" spans="1:11" s="4" customFormat="1" ht="13.8">
      <c r="A102" s="81"/>
      <c r="B102" s="147" t="s">
        <v>12</v>
      </c>
      <c r="C102" s="23"/>
      <c r="D102" s="176"/>
      <c r="E102" s="68"/>
      <c r="F102" s="68"/>
      <c r="G102" s="68"/>
      <c r="H102" s="68"/>
      <c r="I102" s="68"/>
      <c r="J102" s="68"/>
      <c r="K102" s="68"/>
    </row>
    <row r="103" spans="1:11" s="4" customFormat="1" ht="13.8">
      <c r="A103" s="81"/>
      <c r="B103" s="147" t="s">
        <v>68</v>
      </c>
      <c r="C103" s="23" t="s">
        <v>9</v>
      </c>
      <c r="D103" s="176">
        <f>D99*1.02</f>
        <v>5.8751999999999995</v>
      </c>
      <c r="E103" s="68"/>
      <c r="F103" s="68"/>
      <c r="G103" s="68"/>
      <c r="H103" s="68"/>
      <c r="I103" s="68"/>
      <c r="J103" s="68"/>
      <c r="K103" s="68"/>
    </row>
    <row r="104" spans="1:11" s="4" customFormat="1" ht="13.8">
      <c r="A104" s="81"/>
      <c r="B104" s="147" t="s">
        <v>40</v>
      </c>
      <c r="C104" s="23" t="s">
        <v>10</v>
      </c>
      <c r="D104" s="176">
        <f>66.4*1.05/1000</f>
        <v>6.9720000000000018E-2</v>
      </c>
      <c r="E104" s="68"/>
      <c r="F104" s="68"/>
      <c r="G104" s="68"/>
      <c r="H104" s="68"/>
      <c r="I104" s="68"/>
      <c r="J104" s="68"/>
      <c r="K104" s="68"/>
    </row>
    <row r="105" spans="1:11" s="4" customFormat="1" ht="13.8">
      <c r="A105" s="81"/>
      <c r="B105" s="147" t="s">
        <v>69</v>
      </c>
      <c r="C105" s="23" t="s">
        <v>10</v>
      </c>
      <c r="D105" s="176">
        <f>(39.5*4)*1.05/1000</f>
        <v>0.16589999999999999</v>
      </c>
      <c r="E105" s="68"/>
      <c r="F105" s="68"/>
      <c r="G105" s="68"/>
      <c r="H105" s="68"/>
      <c r="I105" s="68"/>
      <c r="J105" s="68"/>
      <c r="K105" s="68"/>
    </row>
    <row r="106" spans="1:11" s="4" customFormat="1" ht="13.8">
      <c r="A106" s="81"/>
      <c r="B106" s="147" t="s">
        <v>78</v>
      </c>
      <c r="C106" s="23" t="s">
        <v>10</v>
      </c>
      <c r="D106" s="176">
        <f>(53.31*3)*1.05/1000</f>
        <v>0.16792650000000001</v>
      </c>
      <c r="E106" s="68"/>
      <c r="F106" s="68"/>
      <c r="G106" s="68"/>
      <c r="H106" s="68"/>
      <c r="I106" s="68"/>
      <c r="J106" s="68"/>
      <c r="K106" s="68"/>
    </row>
    <row r="107" spans="1:11" s="4" customFormat="1" ht="13.8">
      <c r="A107" s="81"/>
      <c r="B107" s="147" t="s">
        <v>78</v>
      </c>
      <c r="C107" s="23" t="s">
        <v>10</v>
      </c>
      <c r="D107" s="176">
        <f>(159.84*3+895.1*12)*1.05/1000</f>
        <v>11.781756000000001</v>
      </c>
      <c r="E107" s="68"/>
      <c r="F107" s="68"/>
      <c r="G107" s="68"/>
      <c r="H107" s="68"/>
      <c r="I107" s="68"/>
      <c r="J107" s="68"/>
      <c r="K107" s="68"/>
    </row>
    <row r="108" spans="1:11" s="8" customFormat="1" ht="13.8">
      <c r="A108" s="81"/>
      <c r="B108" s="147" t="s">
        <v>22</v>
      </c>
      <c r="C108" s="23" t="s">
        <v>23</v>
      </c>
      <c r="D108" s="176">
        <f>(D107+D106+D105)*9</f>
        <v>109.04024250000002</v>
      </c>
      <c r="E108" s="68"/>
      <c r="F108" s="68"/>
      <c r="G108" s="68"/>
      <c r="H108" s="68"/>
      <c r="I108" s="68"/>
      <c r="J108" s="68"/>
      <c r="K108" s="68"/>
    </row>
    <row r="109" spans="1:11" s="3" customFormat="1" ht="13.8">
      <c r="A109" s="81"/>
      <c r="B109" s="147" t="s">
        <v>17</v>
      </c>
      <c r="C109" s="23" t="s">
        <v>9</v>
      </c>
      <c r="D109" s="176">
        <f>D99</f>
        <v>5.76</v>
      </c>
      <c r="E109" s="68"/>
      <c r="F109" s="68"/>
      <c r="G109" s="68"/>
      <c r="H109" s="68"/>
      <c r="I109" s="68"/>
      <c r="J109" s="68"/>
      <c r="K109" s="68"/>
    </row>
    <row r="110" spans="1:11" s="3" customFormat="1" ht="13.8">
      <c r="A110" s="81"/>
      <c r="B110" s="147" t="s">
        <v>14</v>
      </c>
      <c r="C110" s="23" t="s">
        <v>5</v>
      </c>
      <c r="D110" s="176">
        <f>D99</f>
        <v>5.76</v>
      </c>
      <c r="E110" s="68"/>
      <c r="F110" s="68"/>
      <c r="G110" s="68"/>
      <c r="H110" s="68"/>
      <c r="I110" s="68"/>
      <c r="J110" s="68"/>
      <c r="K110" s="68"/>
    </row>
    <row r="111" spans="1:11" s="3" customFormat="1" ht="27.6">
      <c r="A111" s="118">
        <f>A99+1</f>
        <v>11</v>
      </c>
      <c r="B111" s="172" t="s">
        <v>174</v>
      </c>
      <c r="C111" s="120" t="s">
        <v>9</v>
      </c>
      <c r="D111" s="178">
        <f>6.04+18.74</f>
        <v>24.779999999999998</v>
      </c>
      <c r="E111" s="173"/>
      <c r="F111" s="68"/>
      <c r="G111" s="173"/>
      <c r="H111" s="173"/>
      <c r="I111" s="173"/>
      <c r="J111" s="173"/>
      <c r="K111" s="122"/>
    </row>
    <row r="112" spans="1:11" s="3" customFormat="1" ht="13.8">
      <c r="A112" s="81"/>
      <c r="B112" s="147" t="s">
        <v>11</v>
      </c>
      <c r="C112" s="23" t="s">
        <v>9</v>
      </c>
      <c r="D112" s="176">
        <f>D111</f>
        <v>24.779999999999998</v>
      </c>
      <c r="E112" s="68"/>
      <c r="F112" s="68"/>
      <c r="G112" s="68"/>
      <c r="H112" s="68"/>
      <c r="I112" s="68"/>
      <c r="J112" s="68"/>
      <c r="K112" s="68"/>
    </row>
    <row r="113" spans="1:11" s="3" customFormat="1" ht="13.8">
      <c r="A113" s="81"/>
      <c r="B113" s="147" t="s">
        <v>67</v>
      </c>
      <c r="C113" s="23" t="s">
        <v>5</v>
      </c>
      <c r="D113" s="176">
        <f>D111*20</f>
        <v>495.59999999999997</v>
      </c>
      <c r="E113" s="68"/>
      <c r="F113" s="68"/>
      <c r="G113" s="68"/>
      <c r="H113" s="68"/>
      <c r="I113" s="68"/>
      <c r="J113" s="68"/>
      <c r="K113" s="68"/>
    </row>
    <row r="114" spans="1:11" s="3" customFormat="1" ht="13.8">
      <c r="A114" s="81"/>
      <c r="B114" s="147" t="s">
        <v>12</v>
      </c>
      <c r="C114" s="23"/>
      <c r="D114" s="176"/>
      <c r="E114" s="68"/>
      <c r="F114" s="68"/>
      <c r="G114" s="68"/>
      <c r="H114" s="68"/>
      <c r="I114" s="68"/>
      <c r="J114" s="68"/>
      <c r="K114" s="68"/>
    </row>
    <row r="115" spans="1:11" s="3" customFormat="1" ht="13.8">
      <c r="A115" s="81"/>
      <c r="B115" s="147" t="s">
        <v>68</v>
      </c>
      <c r="C115" s="23" t="s">
        <v>9</v>
      </c>
      <c r="D115" s="176">
        <f>D111*1.02</f>
        <v>25.275599999999997</v>
      </c>
      <c r="E115" s="68"/>
      <c r="F115" s="68"/>
      <c r="G115" s="68"/>
      <c r="H115" s="68"/>
      <c r="I115" s="68"/>
      <c r="J115" s="68"/>
      <c r="K115" s="68"/>
    </row>
    <row r="116" spans="1:11" s="4" customFormat="1" ht="13.8">
      <c r="A116" s="81"/>
      <c r="B116" s="147" t="s">
        <v>40</v>
      </c>
      <c r="C116" s="23" t="s">
        <v>10</v>
      </c>
      <c r="D116" s="176">
        <f>66.4*1.05/1000</f>
        <v>6.9720000000000018E-2</v>
      </c>
      <c r="E116" s="68"/>
      <c r="F116" s="68"/>
      <c r="G116" s="68"/>
      <c r="H116" s="68"/>
      <c r="I116" s="68"/>
      <c r="J116" s="68"/>
      <c r="K116" s="68"/>
    </row>
    <row r="117" spans="1:11" s="3" customFormat="1" ht="13.8">
      <c r="A117" s="81"/>
      <c r="B117" s="147" t="s">
        <v>69</v>
      </c>
      <c r="C117" s="23" t="s">
        <v>10</v>
      </c>
      <c r="D117" s="176">
        <f>(34.66*3+137.76*12)*1.05/1000</f>
        <v>1.8449549999999999</v>
      </c>
      <c r="E117" s="68"/>
      <c r="F117" s="68"/>
      <c r="G117" s="68"/>
      <c r="H117" s="68"/>
      <c r="I117" s="68"/>
      <c r="J117" s="68"/>
      <c r="K117" s="68"/>
    </row>
    <row r="118" spans="1:11" s="3" customFormat="1" ht="13.8">
      <c r="A118" s="81"/>
      <c r="B118" s="147" t="s">
        <v>75</v>
      </c>
      <c r="C118" s="23" t="s">
        <v>10</v>
      </c>
      <c r="D118" s="176">
        <f>(53.31*3)*1.05/1000</f>
        <v>0.16792650000000001</v>
      </c>
      <c r="E118" s="68"/>
      <c r="F118" s="68"/>
      <c r="G118" s="68"/>
      <c r="H118" s="68"/>
      <c r="I118" s="68"/>
      <c r="J118" s="68"/>
      <c r="K118" s="68"/>
    </row>
    <row r="119" spans="1:11" s="3" customFormat="1" ht="13.8">
      <c r="A119" s="81"/>
      <c r="B119" s="147" t="s">
        <v>78</v>
      </c>
      <c r="C119" s="23" t="s">
        <v>10</v>
      </c>
      <c r="D119" s="176">
        <f>(159.84*3+895.1*12)*1.05/1000</f>
        <v>11.781756000000001</v>
      </c>
      <c r="E119" s="68"/>
      <c r="F119" s="68"/>
      <c r="G119" s="68"/>
      <c r="H119" s="68"/>
      <c r="I119" s="68"/>
      <c r="J119" s="68"/>
      <c r="K119" s="68"/>
    </row>
    <row r="120" spans="1:11" s="3" customFormat="1" ht="13.8">
      <c r="A120" s="81"/>
      <c r="B120" s="147" t="s">
        <v>22</v>
      </c>
      <c r="C120" s="23" t="s">
        <v>23</v>
      </c>
      <c r="D120" s="176">
        <f>(D119+D118+D117)*9</f>
        <v>124.15173750000002</v>
      </c>
      <c r="E120" s="68"/>
      <c r="F120" s="68"/>
      <c r="G120" s="68"/>
      <c r="H120" s="68"/>
      <c r="I120" s="68"/>
      <c r="J120" s="68"/>
      <c r="K120" s="68"/>
    </row>
    <row r="121" spans="1:11" s="3" customFormat="1" ht="13.8">
      <c r="A121" s="81"/>
      <c r="B121" s="147" t="s">
        <v>17</v>
      </c>
      <c r="C121" s="23" t="s">
        <v>9</v>
      </c>
      <c r="D121" s="176">
        <f>D111</f>
        <v>24.779999999999998</v>
      </c>
      <c r="E121" s="68"/>
      <c r="F121" s="68"/>
      <c r="G121" s="68"/>
      <c r="H121" s="68"/>
      <c r="I121" s="68"/>
      <c r="J121" s="68"/>
      <c r="K121" s="68"/>
    </row>
    <row r="122" spans="1:11" s="3" customFormat="1" ht="13.8">
      <c r="A122" s="81"/>
      <c r="B122" s="147" t="s">
        <v>14</v>
      </c>
      <c r="C122" s="23" t="s">
        <v>5</v>
      </c>
      <c r="D122" s="176">
        <f>D111</f>
        <v>24.779999999999998</v>
      </c>
      <c r="E122" s="68"/>
      <c r="F122" s="68"/>
      <c r="G122" s="68"/>
      <c r="H122" s="68"/>
      <c r="I122" s="68"/>
      <c r="J122" s="68"/>
      <c r="K122" s="68"/>
    </row>
    <row r="123" spans="1:11" s="3" customFormat="1" ht="27.6">
      <c r="A123" s="118">
        <f>A111+1</f>
        <v>12</v>
      </c>
      <c r="B123" s="172" t="s">
        <v>27</v>
      </c>
      <c r="C123" s="120" t="s">
        <v>36</v>
      </c>
      <c r="D123" s="178">
        <f>(1850)*0.18</f>
        <v>333</v>
      </c>
      <c r="E123" s="173"/>
      <c r="F123" s="68"/>
      <c r="G123" s="173"/>
      <c r="H123" s="173"/>
      <c r="I123" s="173"/>
      <c r="J123" s="173"/>
      <c r="K123" s="122"/>
    </row>
    <row r="124" spans="1:11" s="3" customFormat="1" ht="15">
      <c r="A124" s="81"/>
      <c r="B124" s="147" t="s">
        <v>11</v>
      </c>
      <c r="C124" s="23" t="s">
        <v>28</v>
      </c>
      <c r="D124" s="176">
        <f>D123/0.18</f>
        <v>1850</v>
      </c>
      <c r="E124" s="68"/>
      <c r="F124" s="68"/>
      <c r="G124" s="68"/>
      <c r="H124" s="68"/>
      <c r="I124" s="68"/>
      <c r="J124" s="68"/>
      <c r="K124" s="68"/>
    </row>
    <row r="125" spans="1:11" s="3" customFormat="1" ht="13.8">
      <c r="A125" s="81"/>
      <c r="B125" s="147" t="s">
        <v>13</v>
      </c>
      <c r="C125" s="23" t="s">
        <v>5</v>
      </c>
      <c r="D125" s="176">
        <f>D123*0.54</f>
        <v>179.82000000000002</v>
      </c>
      <c r="E125" s="68"/>
      <c r="F125" s="68"/>
      <c r="G125" s="68"/>
      <c r="H125" s="68"/>
      <c r="I125" s="68"/>
      <c r="J125" s="68"/>
      <c r="K125" s="68"/>
    </row>
    <row r="126" spans="1:11" s="3" customFormat="1" ht="13.8">
      <c r="A126" s="81"/>
      <c r="B126" s="147" t="s">
        <v>12</v>
      </c>
      <c r="C126" s="23"/>
      <c r="D126" s="176"/>
      <c r="E126" s="68"/>
      <c r="F126" s="68"/>
      <c r="G126" s="68"/>
      <c r="H126" s="68"/>
      <c r="I126" s="68"/>
      <c r="J126" s="68"/>
      <c r="K126" s="68"/>
    </row>
    <row r="127" spans="1:11" s="3" customFormat="1" ht="13.8">
      <c r="A127" s="81"/>
      <c r="B127" s="147" t="s">
        <v>16</v>
      </c>
      <c r="C127" s="23" t="s">
        <v>9</v>
      </c>
      <c r="D127" s="176">
        <f>D123*1.02</f>
        <v>339.66</v>
      </c>
      <c r="E127" s="68"/>
      <c r="F127" s="68"/>
      <c r="G127" s="68"/>
      <c r="H127" s="68"/>
      <c r="I127" s="68"/>
      <c r="J127" s="68"/>
      <c r="K127" s="68"/>
    </row>
    <row r="128" spans="1:11" s="3" customFormat="1" ht="13.8">
      <c r="A128" s="81"/>
      <c r="B128" s="147" t="s">
        <v>39</v>
      </c>
      <c r="C128" s="23" t="s">
        <v>10</v>
      </c>
      <c r="D128" s="176">
        <f>D124*10.5*0.625*1.05/1000</f>
        <v>12.74765625</v>
      </c>
      <c r="E128" s="68"/>
      <c r="F128" s="68"/>
      <c r="G128" s="68"/>
      <c r="H128" s="68"/>
      <c r="I128" s="68"/>
      <c r="J128" s="68"/>
      <c r="K128" s="68"/>
    </row>
    <row r="129" spans="1:11">
      <c r="A129" s="81"/>
      <c r="B129" s="147" t="s">
        <v>17</v>
      </c>
      <c r="C129" s="23" t="s">
        <v>9</v>
      </c>
      <c r="D129" s="176">
        <f>D123</f>
        <v>333</v>
      </c>
      <c r="E129" s="68"/>
      <c r="F129" s="68"/>
      <c r="G129" s="68"/>
      <c r="H129" s="68"/>
      <c r="I129" s="68"/>
      <c r="J129" s="68"/>
      <c r="K129" s="68"/>
    </row>
    <row r="130" spans="1:11">
      <c r="A130" s="81"/>
      <c r="B130" s="147" t="s">
        <v>34</v>
      </c>
      <c r="C130" s="23" t="s">
        <v>33</v>
      </c>
      <c r="D130" s="176">
        <f>D124</f>
        <v>1850</v>
      </c>
      <c r="E130" s="68"/>
      <c r="F130" s="68"/>
      <c r="G130" s="68"/>
      <c r="H130" s="68"/>
      <c r="I130" s="68"/>
      <c r="J130" s="68"/>
      <c r="K130" s="68"/>
    </row>
    <row r="131" spans="1:11">
      <c r="A131" s="81"/>
      <c r="B131" s="147" t="s">
        <v>64</v>
      </c>
      <c r="C131" s="23" t="s">
        <v>33</v>
      </c>
      <c r="D131" s="176">
        <f>D130</f>
        <v>1850</v>
      </c>
      <c r="E131" s="68"/>
      <c r="F131" s="68"/>
      <c r="G131" s="68"/>
      <c r="H131" s="68"/>
      <c r="I131" s="68"/>
      <c r="J131" s="68"/>
      <c r="K131" s="68"/>
    </row>
    <row r="132" spans="1:11">
      <c r="A132" s="81"/>
      <c r="B132" s="147" t="s">
        <v>43</v>
      </c>
      <c r="C132" s="23" t="s">
        <v>33</v>
      </c>
      <c r="D132" s="176">
        <f>D130</f>
        <v>1850</v>
      </c>
      <c r="E132" s="68"/>
      <c r="F132" s="68"/>
      <c r="G132" s="68"/>
      <c r="H132" s="68"/>
      <c r="I132" s="68"/>
      <c r="J132" s="68"/>
      <c r="K132" s="68"/>
    </row>
    <row r="133" spans="1:11">
      <c r="A133" s="81"/>
      <c r="B133" s="147" t="s">
        <v>14</v>
      </c>
      <c r="C133" s="23" t="s">
        <v>5</v>
      </c>
      <c r="D133" s="176">
        <f>D123*0.5</f>
        <v>166.5</v>
      </c>
      <c r="E133" s="68"/>
      <c r="F133" s="68"/>
      <c r="G133" s="68"/>
      <c r="H133" s="68"/>
      <c r="I133" s="68"/>
      <c r="J133" s="68"/>
      <c r="K133" s="68"/>
    </row>
    <row r="134" spans="1:11">
      <c r="A134" s="118">
        <f>A123+1</f>
        <v>13</v>
      </c>
      <c r="B134" s="172" t="s">
        <v>93</v>
      </c>
      <c r="C134" s="120" t="s">
        <v>10</v>
      </c>
      <c r="D134" s="178">
        <f>(D138+D139+D140)/1.05</f>
        <v>18.42942</v>
      </c>
      <c r="E134" s="173"/>
      <c r="F134" s="68"/>
      <c r="G134" s="173"/>
      <c r="H134" s="173"/>
      <c r="I134" s="173"/>
      <c r="J134" s="173"/>
      <c r="K134" s="122"/>
    </row>
    <row r="135" spans="1:11">
      <c r="A135" s="81"/>
      <c r="B135" s="147" t="s">
        <v>11</v>
      </c>
      <c r="C135" s="23" t="s">
        <v>94</v>
      </c>
      <c r="D135" s="176">
        <f>D134</f>
        <v>18.42942</v>
      </c>
      <c r="E135" s="68"/>
      <c r="F135" s="68"/>
      <c r="G135" s="68"/>
      <c r="H135" s="68"/>
      <c r="I135" s="68"/>
      <c r="J135" s="68"/>
      <c r="K135" s="68"/>
    </row>
    <row r="136" spans="1:11">
      <c r="A136" s="81"/>
      <c r="B136" s="147" t="s">
        <v>13</v>
      </c>
      <c r="C136" s="23" t="s">
        <v>5</v>
      </c>
      <c r="D136" s="176">
        <f>D134</f>
        <v>18.42942</v>
      </c>
      <c r="E136" s="68"/>
      <c r="F136" s="68"/>
      <c r="G136" s="68"/>
      <c r="H136" s="68"/>
      <c r="I136" s="68"/>
      <c r="J136" s="68"/>
      <c r="K136" s="68"/>
    </row>
    <row r="137" spans="1:11">
      <c r="A137" s="81"/>
      <c r="B137" s="147" t="s">
        <v>12</v>
      </c>
      <c r="C137" s="23"/>
      <c r="D137" s="176"/>
      <c r="E137" s="68"/>
      <c r="F137" s="68"/>
      <c r="G137" s="68"/>
      <c r="H137" s="68"/>
      <c r="I137" s="68"/>
      <c r="J137" s="68"/>
      <c r="K137" s="68"/>
    </row>
    <row r="138" spans="1:11">
      <c r="A138" s="81"/>
      <c r="B138" s="147" t="s">
        <v>95</v>
      </c>
      <c r="C138" s="23" t="s">
        <v>94</v>
      </c>
      <c r="D138" s="176">
        <f>1295*1.3*1.05/1000</f>
        <v>1.7676750000000001</v>
      </c>
      <c r="E138" s="68"/>
      <c r="F138" s="68"/>
      <c r="G138" s="68"/>
      <c r="H138" s="68"/>
      <c r="I138" s="68"/>
      <c r="J138" s="68"/>
      <c r="K138" s="68"/>
    </row>
    <row r="139" spans="1:11">
      <c r="A139" s="81"/>
      <c r="B139" s="147" t="s">
        <v>96</v>
      </c>
      <c r="C139" s="23" t="s">
        <v>94</v>
      </c>
      <c r="D139" s="176">
        <f>1295*11.84*1.05/1000</f>
        <v>16.099440000000001</v>
      </c>
      <c r="E139" s="68"/>
      <c r="F139" s="68"/>
      <c r="G139" s="68"/>
      <c r="H139" s="68"/>
      <c r="I139" s="68"/>
      <c r="J139" s="68"/>
      <c r="K139" s="68"/>
    </row>
    <row r="140" spans="1:11">
      <c r="A140" s="81"/>
      <c r="B140" s="147" t="s">
        <v>97</v>
      </c>
      <c r="C140" s="23" t="s">
        <v>94</v>
      </c>
      <c r="D140" s="176">
        <f>192*7.36*1.05/1000</f>
        <v>1.4837760000000002</v>
      </c>
      <c r="E140" s="68"/>
      <c r="F140" s="68"/>
      <c r="G140" s="68"/>
      <c r="H140" s="68"/>
      <c r="I140" s="68"/>
      <c r="J140" s="68"/>
      <c r="K140" s="68"/>
    </row>
    <row r="141" spans="1:11">
      <c r="A141" s="81"/>
      <c r="B141" s="147" t="s">
        <v>167</v>
      </c>
      <c r="C141" s="23" t="s">
        <v>23</v>
      </c>
      <c r="D141" s="176">
        <f>D134*8.5</f>
        <v>156.65007</v>
      </c>
      <c r="E141" s="68"/>
      <c r="F141" s="68"/>
      <c r="G141" s="68"/>
      <c r="H141" s="68"/>
      <c r="I141" s="68"/>
      <c r="J141" s="68"/>
      <c r="K141" s="68"/>
    </row>
    <row r="142" spans="1:11">
      <c r="A142" s="81"/>
      <c r="B142" s="147" t="s">
        <v>168</v>
      </c>
      <c r="C142" s="23" t="s">
        <v>23</v>
      </c>
      <c r="D142" s="176">
        <f>D134*13.2</f>
        <v>243.26834399999998</v>
      </c>
      <c r="E142" s="68"/>
      <c r="F142" s="68"/>
      <c r="G142" s="68"/>
      <c r="H142" s="68"/>
      <c r="I142" s="68"/>
      <c r="J142" s="68"/>
      <c r="K142" s="68"/>
    </row>
    <row r="143" spans="1:11">
      <c r="A143" s="81"/>
      <c r="B143" s="147" t="s">
        <v>14</v>
      </c>
      <c r="C143" s="23" t="s">
        <v>5</v>
      </c>
      <c r="D143" s="176">
        <f>D134</f>
        <v>18.42942</v>
      </c>
      <c r="E143" s="68"/>
      <c r="F143" s="68"/>
      <c r="G143" s="68"/>
      <c r="H143" s="68"/>
      <c r="I143" s="68"/>
      <c r="J143" s="68"/>
      <c r="K143" s="68"/>
    </row>
    <row r="144" spans="1:11" ht="55.2">
      <c r="A144" s="118">
        <f>A134+1</f>
        <v>14</v>
      </c>
      <c r="B144" s="172" t="s">
        <v>166</v>
      </c>
      <c r="C144" s="120" t="s">
        <v>10</v>
      </c>
      <c r="D144" s="178">
        <f>(D148+D149+D150)/1.05</f>
        <v>4.2206000000000001</v>
      </c>
      <c r="E144" s="173"/>
      <c r="F144" s="68"/>
      <c r="G144" s="173"/>
      <c r="H144" s="173"/>
      <c r="I144" s="173"/>
      <c r="J144" s="173"/>
      <c r="K144" s="122"/>
    </row>
    <row r="145" spans="1:11">
      <c r="A145" s="81"/>
      <c r="B145" s="147" t="s">
        <v>11</v>
      </c>
      <c r="C145" s="23" t="s">
        <v>94</v>
      </c>
      <c r="D145" s="176">
        <f>D144</f>
        <v>4.2206000000000001</v>
      </c>
      <c r="E145" s="68"/>
      <c r="F145" s="68"/>
      <c r="G145" s="68"/>
      <c r="H145" s="68"/>
      <c r="I145" s="68"/>
      <c r="J145" s="68"/>
      <c r="K145" s="68"/>
    </row>
    <row r="146" spans="1:11">
      <c r="A146" s="81"/>
      <c r="B146" s="147" t="s">
        <v>13</v>
      </c>
      <c r="C146" s="23" t="s">
        <v>5</v>
      </c>
      <c r="D146" s="176">
        <f>D144</f>
        <v>4.2206000000000001</v>
      </c>
      <c r="E146" s="68"/>
      <c r="F146" s="68"/>
      <c r="G146" s="68"/>
      <c r="H146" s="68"/>
      <c r="I146" s="68"/>
      <c r="J146" s="68"/>
      <c r="K146" s="68"/>
    </row>
    <row r="147" spans="1:11">
      <c r="A147" s="81"/>
      <c r="B147" s="147" t="s">
        <v>12</v>
      </c>
      <c r="C147" s="23"/>
      <c r="D147" s="176"/>
      <c r="E147" s="68"/>
      <c r="F147" s="68"/>
      <c r="G147" s="68"/>
      <c r="H147" s="68"/>
      <c r="I147" s="68"/>
      <c r="J147" s="68"/>
      <c r="K147" s="68"/>
    </row>
    <row r="148" spans="1:11">
      <c r="A148" s="81"/>
      <c r="B148" s="147" t="s">
        <v>95</v>
      </c>
      <c r="C148" s="23" t="s">
        <v>94</v>
      </c>
      <c r="D148" s="176">
        <f>150*1.3*1.05/1000</f>
        <v>0.20474999999999999</v>
      </c>
      <c r="E148" s="68"/>
      <c r="F148" s="68"/>
      <c r="G148" s="68"/>
      <c r="H148" s="68"/>
      <c r="I148" s="68"/>
      <c r="J148" s="68"/>
      <c r="K148" s="68"/>
    </row>
    <row r="149" spans="1:11">
      <c r="A149" s="81"/>
      <c r="B149" s="147" t="s">
        <v>96</v>
      </c>
      <c r="C149" s="23" t="s">
        <v>94</v>
      </c>
      <c r="D149" s="176">
        <f>(45+75+60+80)*11.84*1.05/1000</f>
        <v>3.2323200000000001</v>
      </c>
      <c r="E149" s="68"/>
      <c r="F149" s="68"/>
      <c r="G149" s="68"/>
      <c r="H149" s="68"/>
      <c r="I149" s="68"/>
      <c r="J149" s="68"/>
      <c r="K149" s="68"/>
    </row>
    <row r="150" spans="1:11">
      <c r="A150" s="81"/>
      <c r="B150" s="147" t="s">
        <v>165</v>
      </c>
      <c r="C150" s="23" t="s">
        <v>94</v>
      </c>
      <c r="D150" s="176">
        <f>80*11.84*1.05/1000</f>
        <v>0.99456000000000011</v>
      </c>
      <c r="E150" s="68"/>
      <c r="F150" s="68"/>
      <c r="G150" s="68"/>
      <c r="H150" s="68"/>
      <c r="I150" s="68"/>
      <c r="J150" s="68"/>
      <c r="K150" s="68"/>
    </row>
    <row r="151" spans="1:11">
      <c r="A151" s="81"/>
      <c r="B151" s="147" t="s">
        <v>167</v>
      </c>
      <c r="C151" s="23" t="s">
        <v>23</v>
      </c>
      <c r="D151" s="176">
        <f>D144*9.67</f>
        <v>40.813202000000004</v>
      </c>
      <c r="E151" s="68"/>
      <c r="F151" s="68"/>
      <c r="G151" s="68"/>
      <c r="H151" s="68"/>
      <c r="I151" s="68"/>
      <c r="J151" s="68"/>
      <c r="K151" s="68"/>
    </row>
    <row r="152" spans="1:11">
      <c r="A152" s="81"/>
      <c r="B152" s="147" t="s">
        <v>168</v>
      </c>
      <c r="C152" s="23" t="s">
        <v>23</v>
      </c>
      <c r="D152" s="176">
        <f>D144*14.6</f>
        <v>61.620759999999997</v>
      </c>
      <c r="E152" s="68"/>
      <c r="F152" s="68"/>
      <c r="G152" s="68"/>
      <c r="H152" s="68"/>
      <c r="I152" s="68"/>
      <c r="J152" s="68"/>
      <c r="K152" s="68"/>
    </row>
    <row r="153" spans="1:11">
      <c r="A153" s="81"/>
      <c r="B153" s="147" t="s">
        <v>14</v>
      </c>
      <c r="C153" s="23" t="s">
        <v>5</v>
      </c>
      <c r="D153" s="176">
        <f>D144</f>
        <v>4.2206000000000001</v>
      </c>
      <c r="E153" s="68"/>
      <c r="F153" s="68"/>
      <c r="G153" s="68"/>
      <c r="H153" s="68"/>
      <c r="I153" s="68"/>
      <c r="J153" s="68"/>
      <c r="K153" s="68"/>
    </row>
    <row r="154" spans="1:11" ht="31.2">
      <c r="A154" s="81"/>
      <c r="B154" s="174" t="s">
        <v>164</v>
      </c>
      <c r="C154" s="127"/>
      <c r="D154" s="176"/>
      <c r="E154" s="162"/>
      <c r="F154" s="162"/>
      <c r="G154" s="162"/>
      <c r="H154" s="162"/>
      <c r="I154" s="162"/>
      <c r="J154" s="162"/>
      <c r="K154" s="163"/>
    </row>
    <row r="155" spans="1:11" ht="27.6">
      <c r="A155" s="118">
        <v>1</v>
      </c>
      <c r="B155" s="172" t="s">
        <v>149</v>
      </c>
      <c r="C155" s="120" t="s">
        <v>9</v>
      </c>
      <c r="D155" s="178">
        <f>80*1.5*1.95*2</f>
        <v>468</v>
      </c>
      <c r="E155" s="173"/>
      <c r="F155" s="68"/>
      <c r="G155" s="173"/>
      <c r="H155" s="173"/>
      <c r="I155" s="173"/>
      <c r="J155" s="173"/>
      <c r="K155" s="122"/>
    </row>
    <row r="156" spans="1:11">
      <c r="A156" s="175"/>
      <c r="B156" s="121" t="s">
        <v>150</v>
      </c>
      <c r="C156" s="127" t="s">
        <v>9</v>
      </c>
      <c r="D156" s="177">
        <f>D155</f>
        <v>468</v>
      </c>
      <c r="E156" s="162"/>
      <c r="F156" s="162"/>
      <c r="G156" s="162"/>
      <c r="H156" s="162"/>
      <c r="I156" s="162"/>
      <c r="J156" s="162"/>
      <c r="K156" s="163"/>
    </row>
    <row r="157" spans="1:11" ht="27.6">
      <c r="A157" s="118">
        <f>A155+1</f>
        <v>2</v>
      </c>
      <c r="B157" s="172" t="s">
        <v>151</v>
      </c>
      <c r="C157" s="120" t="s">
        <v>9</v>
      </c>
      <c r="D157" s="178">
        <f>D155</f>
        <v>468</v>
      </c>
      <c r="E157" s="173"/>
      <c r="F157" s="68"/>
      <c r="G157" s="173"/>
      <c r="H157" s="173"/>
      <c r="I157" s="173"/>
      <c r="J157" s="173"/>
      <c r="K157" s="122"/>
    </row>
    <row r="158" spans="1:11">
      <c r="A158" s="118">
        <f>A157+1</f>
        <v>3</v>
      </c>
      <c r="B158" s="172" t="s">
        <v>152</v>
      </c>
      <c r="C158" s="120" t="s">
        <v>9</v>
      </c>
      <c r="D158" s="178">
        <f>80*1.5*0.22</f>
        <v>26.4</v>
      </c>
      <c r="E158" s="173"/>
      <c r="F158" s="68"/>
      <c r="G158" s="173"/>
      <c r="H158" s="173"/>
      <c r="I158" s="173"/>
      <c r="J158" s="173"/>
      <c r="K158" s="122"/>
    </row>
    <row r="159" spans="1:11">
      <c r="A159" s="81"/>
      <c r="B159" s="147" t="s">
        <v>11</v>
      </c>
      <c r="C159" s="23" t="s">
        <v>9</v>
      </c>
      <c r="D159" s="176">
        <f>D158</f>
        <v>26.4</v>
      </c>
      <c r="E159" s="68"/>
      <c r="F159" s="68"/>
      <c r="G159" s="68"/>
      <c r="H159" s="68"/>
      <c r="I159" s="68"/>
      <c r="J159" s="68"/>
      <c r="K159" s="68"/>
    </row>
    <row r="160" spans="1:11">
      <c r="A160" s="81"/>
      <c r="B160" s="147" t="s">
        <v>12</v>
      </c>
      <c r="C160" s="23"/>
      <c r="D160" s="176"/>
      <c r="E160" s="68"/>
      <c r="F160" s="68"/>
      <c r="G160" s="68"/>
      <c r="H160" s="68"/>
      <c r="I160" s="68"/>
      <c r="J160" s="68"/>
      <c r="K160" s="68"/>
    </row>
    <row r="161" spans="1:11">
      <c r="A161" s="81"/>
      <c r="B161" s="147" t="s">
        <v>59</v>
      </c>
      <c r="C161" s="23" t="s">
        <v>9</v>
      </c>
      <c r="D161" s="176">
        <f>D158*1.25</f>
        <v>33</v>
      </c>
      <c r="E161" s="68"/>
      <c r="F161" s="68"/>
      <c r="G161" s="68"/>
      <c r="H161" s="68"/>
      <c r="I161" s="68"/>
      <c r="J161" s="68"/>
      <c r="K161" s="68"/>
    </row>
    <row r="162" spans="1:11">
      <c r="A162" s="118">
        <f>A158+1</f>
        <v>4</v>
      </c>
      <c r="B162" s="172" t="s">
        <v>153</v>
      </c>
      <c r="C162" s="120" t="s">
        <v>9</v>
      </c>
      <c r="D162" s="178">
        <f>D158*2</f>
        <v>52.8</v>
      </c>
      <c r="E162" s="173"/>
      <c r="F162" s="68"/>
      <c r="G162" s="173"/>
      <c r="H162" s="173"/>
      <c r="I162" s="173"/>
      <c r="J162" s="173"/>
      <c r="K162" s="122"/>
    </row>
    <row r="163" spans="1:11">
      <c r="A163" s="81"/>
      <c r="B163" s="147" t="s">
        <v>11</v>
      </c>
      <c r="C163" s="23" t="s">
        <v>9</v>
      </c>
      <c r="D163" s="176">
        <f>D162</f>
        <v>52.8</v>
      </c>
      <c r="E163" s="68"/>
      <c r="F163" s="68"/>
      <c r="G163" s="68"/>
      <c r="H163" s="68"/>
      <c r="I163" s="68"/>
      <c r="J163" s="68"/>
      <c r="K163" s="68"/>
    </row>
    <row r="164" spans="1:11">
      <c r="A164" s="81"/>
      <c r="B164" s="147" t="s">
        <v>154</v>
      </c>
      <c r="C164" s="23" t="s">
        <v>9</v>
      </c>
      <c r="D164" s="176">
        <f>D162</f>
        <v>52.8</v>
      </c>
      <c r="E164" s="68"/>
      <c r="F164" s="68"/>
      <c r="G164" s="68"/>
      <c r="H164" s="68"/>
      <c r="I164" s="68"/>
      <c r="J164" s="68"/>
      <c r="K164" s="68"/>
    </row>
    <row r="165" spans="1:11">
      <c r="A165" s="118">
        <f>A162+1</f>
        <v>5</v>
      </c>
      <c r="B165" s="172" t="s">
        <v>155</v>
      </c>
      <c r="C165" s="120" t="s">
        <v>9</v>
      </c>
      <c r="D165" s="178">
        <f>80*1.5*0.1*2</f>
        <v>24</v>
      </c>
      <c r="E165" s="173"/>
      <c r="F165" s="68"/>
      <c r="G165" s="173"/>
      <c r="H165" s="173"/>
      <c r="I165" s="173"/>
      <c r="J165" s="173"/>
      <c r="K165" s="122"/>
    </row>
    <row r="166" spans="1:11">
      <c r="A166" s="81"/>
      <c r="B166" s="147" t="s">
        <v>11</v>
      </c>
      <c r="C166" s="23" t="s">
        <v>9</v>
      </c>
      <c r="D166" s="176">
        <f>D165</f>
        <v>24</v>
      </c>
      <c r="E166" s="68"/>
      <c r="F166" s="68"/>
      <c r="G166" s="68"/>
      <c r="H166" s="68"/>
      <c r="I166" s="68"/>
      <c r="J166" s="68"/>
      <c r="K166" s="68"/>
    </row>
    <row r="167" spans="1:11">
      <c r="A167" s="81"/>
      <c r="B167" s="147" t="s">
        <v>13</v>
      </c>
      <c r="C167" s="23" t="s">
        <v>5</v>
      </c>
      <c r="D167" s="176">
        <f>D165</f>
        <v>24</v>
      </c>
      <c r="E167" s="68"/>
      <c r="F167" s="68"/>
      <c r="G167" s="68"/>
      <c r="H167" s="68"/>
      <c r="I167" s="68"/>
      <c r="J167" s="68"/>
      <c r="K167" s="68"/>
    </row>
    <row r="168" spans="1:11">
      <c r="A168" s="81"/>
      <c r="B168" s="147" t="s">
        <v>12</v>
      </c>
      <c r="C168" s="23"/>
      <c r="D168" s="176"/>
      <c r="E168" s="68"/>
      <c r="F168" s="68"/>
      <c r="G168" s="68"/>
      <c r="H168" s="68"/>
      <c r="I168" s="68"/>
      <c r="J168" s="68"/>
      <c r="K168" s="68"/>
    </row>
    <row r="169" spans="1:11">
      <c r="A169" s="81"/>
      <c r="B169" s="147" t="s">
        <v>156</v>
      </c>
      <c r="C169" s="23" t="s">
        <v>9</v>
      </c>
      <c r="D169" s="176">
        <f>D165*1.02</f>
        <v>24.48</v>
      </c>
      <c r="E169" s="68"/>
      <c r="F169" s="68"/>
      <c r="G169" s="68"/>
      <c r="H169" s="68"/>
      <c r="I169" s="68"/>
      <c r="J169" s="68"/>
      <c r="K169" s="68"/>
    </row>
    <row r="170" spans="1:11">
      <c r="A170" s="81"/>
      <c r="B170" s="147" t="s">
        <v>14</v>
      </c>
      <c r="C170" s="23" t="s">
        <v>5</v>
      </c>
      <c r="D170" s="176">
        <f>D165</f>
        <v>24</v>
      </c>
      <c r="E170" s="68"/>
      <c r="F170" s="68"/>
      <c r="G170" s="68"/>
      <c r="H170" s="68"/>
      <c r="I170" s="68"/>
      <c r="J170" s="68"/>
      <c r="K170" s="68"/>
    </row>
    <row r="171" spans="1:11" ht="27.6">
      <c r="A171" s="118">
        <f>A165+1</f>
        <v>6</v>
      </c>
      <c r="B171" s="172" t="s">
        <v>157</v>
      </c>
      <c r="C171" s="120" t="s">
        <v>9</v>
      </c>
      <c r="D171" s="178">
        <f>80*0.6*0.3*2</f>
        <v>28.799999999999997</v>
      </c>
      <c r="E171" s="173"/>
      <c r="F171" s="68"/>
      <c r="G171" s="173"/>
      <c r="H171" s="173"/>
      <c r="I171" s="173"/>
      <c r="J171" s="173"/>
      <c r="K171" s="122"/>
    </row>
    <row r="172" spans="1:11">
      <c r="A172" s="81"/>
      <c r="B172" s="147" t="s">
        <v>11</v>
      </c>
      <c r="C172" s="23" t="s">
        <v>9</v>
      </c>
      <c r="D172" s="176">
        <f>D171</f>
        <v>28.799999999999997</v>
      </c>
      <c r="E172" s="68"/>
      <c r="F172" s="68"/>
      <c r="G172" s="68"/>
      <c r="H172" s="68"/>
      <c r="I172" s="68"/>
      <c r="J172" s="68"/>
      <c r="K172" s="68"/>
    </row>
    <row r="173" spans="1:11">
      <c r="A173" s="81"/>
      <c r="B173" s="147" t="s">
        <v>13</v>
      </c>
      <c r="C173" s="23" t="s">
        <v>5</v>
      </c>
      <c r="D173" s="176">
        <f>D171</f>
        <v>28.799999999999997</v>
      </c>
      <c r="E173" s="68"/>
      <c r="F173" s="68"/>
      <c r="G173" s="68"/>
      <c r="H173" s="68"/>
      <c r="I173" s="68"/>
      <c r="J173" s="68"/>
      <c r="K173" s="68"/>
    </row>
    <row r="174" spans="1:11">
      <c r="A174" s="81"/>
      <c r="B174" s="147" t="s">
        <v>12</v>
      </c>
      <c r="C174" s="23"/>
      <c r="D174" s="176"/>
      <c r="E174" s="68"/>
      <c r="F174" s="68"/>
      <c r="G174" s="68"/>
      <c r="H174" s="68"/>
      <c r="I174" s="68"/>
      <c r="J174" s="68"/>
      <c r="K174" s="68"/>
    </row>
    <row r="175" spans="1:11">
      <c r="A175" s="81"/>
      <c r="B175" s="147" t="s">
        <v>158</v>
      </c>
      <c r="C175" s="23" t="s">
        <v>9</v>
      </c>
      <c r="D175" s="176">
        <f>D171*1.02</f>
        <v>29.375999999999998</v>
      </c>
      <c r="E175" s="68"/>
      <c r="F175" s="68"/>
      <c r="G175" s="68"/>
      <c r="H175" s="68"/>
      <c r="I175" s="68"/>
      <c r="J175" s="68"/>
      <c r="K175" s="68"/>
    </row>
    <row r="176" spans="1:11">
      <c r="A176" s="81"/>
      <c r="B176" s="147" t="s">
        <v>69</v>
      </c>
      <c r="C176" s="23" t="s">
        <v>10</v>
      </c>
      <c r="D176" s="176">
        <f>(120)*1.05/1000</f>
        <v>0.126</v>
      </c>
      <c r="E176" s="68"/>
      <c r="F176" s="68"/>
      <c r="G176" s="68"/>
      <c r="H176" s="68"/>
      <c r="I176" s="68"/>
      <c r="J176" s="68"/>
      <c r="K176" s="68"/>
    </row>
    <row r="177" spans="1:11">
      <c r="A177" s="81"/>
      <c r="B177" s="147" t="s">
        <v>78</v>
      </c>
      <c r="C177" s="23" t="s">
        <v>10</v>
      </c>
      <c r="D177" s="176">
        <f>(250)*1.05/1000</f>
        <v>0.26250000000000001</v>
      </c>
      <c r="E177" s="68"/>
      <c r="F177" s="68"/>
      <c r="G177" s="68"/>
      <c r="H177" s="68"/>
      <c r="I177" s="68"/>
      <c r="J177" s="68"/>
      <c r="K177" s="68"/>
    </row>
    <row r="178" spans="1:11">
      <c r="A178" s="81"/>
      <c r="B178" s="147" t="s">
        <v>159</v>
      </c>
      <c r="C178" s="23" t="s">
        <v>10</v>
      </c>
      <c r="D178" s="176">
        <f>318*1.05/1000</f>
        <v>0.33390000000000003</v>
      </c>
      <c r="E178" s="68"/>
      <c r="F178" s="68"/>
      <c r="G178" s="68"/>
      <c r="H178" s="68"/>
      <c r="I178" s="68"/>
      <c r="J178" s="68"/>
      <c r="K178" s="68"/>
    </row>
    <row r="179" spans="1:11">
      <c r="A179" s="81"/>
      <c r="B179" s="147" t="s">
        <v>22</v>
      </c>
      <c r="C179" s="23" t="s">
        <v>23</v>
      </c>
      <c r="D179" s="176">
        <f>D171*2</f>
        <v>57.599999999999994</v>
      </c>
      <c r="E179" s="68"/>
      <c r="F179" s="68"/>
      <c r="G179" s="68"/>
      <c r="H179" s="68"/>
      <c r="I179" s="68"/>
      <c r="J179" s="68"/>
      <c r="K179" s="68"/>
    </row>
    <row r="180" spans="1:11">
      <c r="A180" s="81"/>
      <c r="B180" s="147" t="s">
        <v>17</v>
      </c>
      <c r="C180" s="23" t="s">
        <v>9</v>
      </c>
      <c r="D180" s="176">
        <f>D171</f>
        <v>28.799999999999997</v>
      </c>
      <c r="E180" s="68"/>
      <c r="F180" s="68"/>
      <c r="G180" s="68"/>
      <c r="H180" s="68"/>
      <c r="I180" s="68"/>
      <c r="J180" s="68"/>
      <c r="K180" s="68"/>
    </row>
    <row r="181" spans="1:11">
      <c r="A181" s="81"/>
      <c r="B181" s="147" t="s">
        <v>14</v>
      </c>
      <c r="C181" s="23" t="s">
        <v>5</v>
      </c>
      <c r="D181" s="176">
        <f>D171</f>
        <v>28.799999999999997</v>
      </c>
      <c r="E181" s="68"/>
      <c r="F181" s="68"/>
      <c r="G181" s="68"/>
      <c r="H181" s="68"/>
      <c r="I181" s="68"/>
      <c r="J181" s="68"/>
      <c r="K181" s="68"/>
    </row>
    <row r="182" spans="1:11" ht="41.4">
      <c r="A182" s="118">
        <f>A171+1</f>
        <v>7</v>
      </c>
      <c r="B182" s="172" t="s">
        <v>173</v>
      </c>
      <c r="C182" s="120" t="s">
        <v>31</v>
      </c>
      <c r="D182" s="178">
        <f>80*1.1*2*2</f>
        <v>352</v>
      </c>
      <c r="E182" s="173"/>
      <c r="F182" s="68"/>
      <c r="G182" s="173"/>
      <c r="H182" s="173"/>
      <c r="I182" s="173"/>
      <c r="J182" s="173"/>
      <c r="K182" s="122"/>
    </row>
    <row r="183" spans="1:11">
      <c r="A183" s="81"/>
      <c r="B183" s="147" t="s">
        <v>11</v>
      </c>
      <c r="C183" s="23" t="s">
        <v>160</v>
      </c>
      <c r="D183" s="176">
        <f>D182</f>
        <v>352</v>
      </c>
      <c r="E183" s="68"/>
      <c r="F183" s="68"/>
      <c r="G183" s="68"/>
      <c r="H183" s="68"/>
      <c r="I183" s="68"/>
      <c r="J183" s="68"/>
      <c r="K183" s="68"/>
    </row>
    <row r="184" spans="1:11">
      <c r="A184" s="81"/>
      <c r="B184" s="147" t="s">
        <v>12</v>
      </c>
      <c r="C184" s="23"/>
      <c r="D184" s="176"/>
      <c r="E184" s="68"/>
      <c r="F184" s="68"/>
      <c r="G184" s="68"/>
      <c r="H184" s="68"/>
      <c r="I184" s="68"/>
      <c r="J184" s="68"/>
      <c r="K184" s="68"/>
    </row>
    <row r="185" spans="1:11">
      <c r="A185" s="81"/>
      <c r="B185" s="147" t="s">
        <v>32</v>
      </c>
      <c r="C185" s="23" t="s">
        <v>23</v>
      </c>
      <c r="D185" s="176">
        <f>D182*0.65</f>
        <v>228.8</v>
      </c>
      <c r="E185" s="68"/>
      <c r="F185" s="68"/>
      <c r="G185" s="68"/>
      <c r="H185" s="68"/>
      <c r="I185" s="68"/>
      <c r="J185" s="68"/>
      <c r="K185" s="68"/>
    </row>
    <row r="186" spans="1:11">
      <c r="A186" s="81"/>
      <c r="B186" s="147" t="s">
        <v>14</v>
      </c>
      <c r="C186" s="23" t="s">
        <v>5</v>
      </c>
      <c r="D186" s="176">
        <f>D182*0.12</f>
        <v>42.239999999999995</v>
      </c>
      <c r="E186" s="68"/>
      <c r="F186" s="68"/>
      <c r="G186" s="68"/>
      <c r="H186" s="68"/>
      <c r="I186" s="68"/>
      <c r="J186" s="68"/>
      <c r="K186" s="68"/>
    </row>
    <row r="187" spans="1:11">
      <c r="A187" s="118">
        <f>A182+1</f>
        <v>8</v>
      </c>
      <c r="B187" s="172" t="s">
        <v>161</v>
      </c>
      <c r="C187" s="120" t="s">
        <v>9</v>
      </c>
      <c r="D187" s="178">
        <f>80*0.9+10*0.45</f>
        <v>76.5</v>
      </c>
      <c r="E187" s="173"/>
      <c r="F187" s="68"/>
      <c r="G187" s="173"/>
      <c r="H187" s="173"/>
      <c r="I187" s="173"/>
      <c r="J187" s="173"/>
      <c r="K187" s="122"/>
    </row>
    <row r="188" spans="1:11">
      <c r="A188" s="81"/>
      <c r="B188" s="147" t="s">
        <v>11</v>
      </c>
      <c r="C188" s="23" t="s">
        <v>9</v>
      </c>
      <c r="D188" s="176">
        <f>D187</f>
        <v>76.5</v>
      </c>
      <c r="E188" s="68"/>
      <c r="F188" s="68"/>
      <c r="G188" s="68"/>
      <c r="H188" s="68"/>
      <c r="I188" s="68"/>
      <c r="J188" s="68"/>
      <c r="K188" s="68"/>
    </row>
    <row r="189" spans="1:11">
      <c r="A189" s="81"/>
      <c r="B189" s="147" t="s">
        <v>12</v>
      </c>
      <c r="C189" s="23"/>
      <c r="D189" s="176"/>
      <c r="E189" s="68"/>
      <c r="F189" s="68"/>
      <c r="G189" s="68"/>
      <c r="H189" s="68"/>
      <c r="I189" s="68"/>
      <c r="J189" s="68"/>
      <c r="K189" s="68"/>
    </row>
    <row r="190" spans="1:11">
      <c r="A190" s="81"/>
      <c r="B190" s="147" t="s">
        <v>59</v>
      </c>
      <c r="C190" s="23" t="s">
        <v>9</v>
      </c>
      <c r="D190" s="176">
        <f>D187*1.25</f>
        <v>95.625</v>
      </c>
      <c r="E190" s="68"/>
      <c r="F190" s="68"/>
      <c r="G190" s="68"/>
      <c r="H190" s="68"/>
      <c r="I190" s="68"/>
      <c r="J190" s="68"/>
      <c r="K190" s="68"/>
    </row>
    <row r="191" spans="1:11" ht="27.6">
      <c r="A191" s="118">
        <f>A187+1</f>
        <v>9</v>
      </c>
      <c r="B191" s="172" t="s">
        <v>169</v>
      </c>
      <c r="C191" s="120" t="s">
        <v>9</v>
      </c>
      <c r="D191" s="178">
        <f>80*1.1*0.3*2</f>
        <v>52.8</v>
      </c>
      <c r="E191" s="173"/>
      <c r="F191" s="68"/>
      <c r="G191" s="173"/>
      <c r="H191" s="173"/>
      <c r="I191" s="173"/>
      <c r="J191" s="173"/>
      <c r="K191" s="122"/>
    </row>
    <row r="192" spans="1:11">
      <c r="A192" s="81"/>
      <c r="B192" s="147" t="s">
        <v>11</v>
      </c>
      <c r="C192" s="23" t="s">
        <v>9</v>
      </c>
      <c r="D192" s="176">
        <f>D191</f>
        <v>52.8</v>
      </c>
      <c r="E192" s="68"/>
      <c r="F192" s="68"/>
      <c r="G192" s="68"/>
      <c r="H192" s="68"/>
      <c r="I192" s="68"/>
      <c r="J192" s="68"/>
      <c r="K192" s="68"/>
    </row>
    <row r="193" spans="1:11">
      <c r="A193" s="81"/>
      <c r="B193" s="147" t="s">
        <v>13</v>
      </c>
      <c r="C193" s="23" t="s">
        <v>5</v>
      </c>
      <c r="D193" s="176">
        <f>D191</f>
        <v>52.8</v>
      </c>
      <c r="E193" s="68"/>
      <c r="F193" s="68"/>
      <c r="G193" s="68"/>
      <c r="H193" s="68"/>
      <c r="I193" s="68"/>
      <c r="J193" s="68"/>
      <c r="K193" s="68"/>
    </row>
    <row r="194" spans="1:11">
      <c r="A194" s="81"/>
      <c r="B194" s="147" t="s">
        <v>12</v>
      </c>
      <c r="C194" s="23"/>
      <c r="D194" s="176"/>
      <c r="E194" s="68"/>
      <c r="F194" s="68"/>
      <c r="G194" s="68"/>
      <c r="H194" s="68"/>
      <c r="I194" s="68"/>
      <c r="J194" s="68"/>
      <c r="K194" s="68"/>
    </row>
    <row r="195" spans="1:11">
      <c r="A195" s="81"/>
      <c r="B195" s="147" t="s">
        <v>158</v>
      </c>
      <c r="C195" s="23" t="s">
        <v>9</v>
      </c>
      <c r="D195" s="176">
        <f>D191*1.02</f>
        <v>53.855999999999995</v>
      </c>
      <c r="E195" s="68"/>
      <c r="F195" s="68"/>
      <c r="G195" s="68"/>
      <c r="H195" s="68"/>
      <c r="I195" s="68"/>
      <c r="J195" s="68"/>
      <c r="K195" s="68"/>
    </row>
    <row r="196" spans="1:11">
      <c r="A196" s="81"/>
      <c r="B196" s="147" t="s">
        <v>69</v>
      </c>
      <c r="C196" s="23" t="s">
        <v>10</v>
      </c>
      <c r="D196" s="176">
        <f>215*1.05/1000</f>
        <v>0.22575000000000001</v>
      </c>
      <c r="E196" s="68"/>
      <c r="F196" s="68"/>
      <c r="G196" s="68"/>
      <c r="H196" s="68"/>
      <c r="I196" s="68"/>
      <c r="J196" s="68"/>
      <c r="K196" s="68"/>
    </row>
    <row r="197" spans="1:11">
      <c r="A197" s="81"/>
      <c r="B197" s="147" t="s">
        <v>78</v>
      </c>
      <c r="C197" s="23" t="s">
        <v>10</v>
      </c>
      <c r="D197" s="176">
        <f>617*1.05/1000</f>
        <v>0.64785000000000004</v>
      </c>
      <c r="E197" s="68"/>
      <c r="F197" s="68"/>
      <c r="G197" s="68"/>
      <c r="H197" s="68"/>
      <c r="I197" s="68"/>
      <c r="J197" s="68"/>
      <c r="K197" s="68"/>
    </row>
    <row r="198" spans="1:11">
      <c r="A198" s="81"/>
      <c r="B198" s="147" t="s">
        <v>159</v>
      </c>
      <c r="C198" s="23" t="s">
        <v>10</v>
      </c>
      <c r="D198" s="176">
        <f>820*1.05/1000</f>
        <v>0.86099999999999999</v>
      </c>
      <c r="E198" s="68"/>
      <c r="F198" s="68"/>
      <c r="G198" s="68"/>
      <c r="H198" s="68"/>
      <c r="I198" s="68"/>
      <c r="J198" s="68"/>
      <c r="K198" s="68"/>
    </row>
    <row r="199" spans="1:11">
      <c r="A199" s="81"/>
      <c r="B199" s="147" t="s">
        <v>22</v>
      </c>
      <c r="C199" s="23" t="s">
        <v>23</v>
      </c>
      <c r="D199" s="176">
        <f>D191*2</f>
        <v>105.6</v>
      </c>
      <c r="E199" s="68"/>
      <c r="F199" s="68"/>
      <c r="G199" s="68"/>
      <c r="H199" s="68"/>
      <c r="I199" s="68"/>
      <c r="J199" s="68"/>
      <c r="K199" s="68"/>
    </row>
    <row r="200" spans="1:11">
      <c r="A200" s="81"/>
      <c r="B200" s="147" t="s">
        <v>17</v>
      </c>
      <c r="C200" s="23" t="s">
        <v>9</v>
      </c>
      <c r="D200" s="176">
        <f>D191</f>
        <v>52.8</v>
      </c>
      <c r="E200" s="68"/>
      <c r="F200" s="68"/>
      <c r="G200" s="68"/>
      <c r="H200" s="68"/>
      <c r="I200" s="68"/>
      <c r="J200" s="68"/>
      <c r="K200" s="68"/>
    </row>
    <row r="201" spans="1:11">
      <c r="A201" s="81"/>
      <c r="B201" s="147" t="s">
        <v>14</v>
      </c>
      <c r="C201" s="23" t="s">
        <v>5</v>
      </c>
      <c r="D201" s="176">
        <f>D191</f>
        <v>52.8</v>
      </c>
      <c r="E201" s="68"/>
      <c r="F201" s="68"/>
      <c r="G201" s="68"/>
      <c r="H201" s="68"/>
      <c r="I201" s="68"/>
      <c r="J201" s="68"/>
      <c r="K201" s="68"/>
    </row>
    <row r="202" spans="1:11">
      <c r="A202" s="118">
        <f>A191+1</f>
        <v>10</v>
      </c>
      <c r="B202" s="172" t="s">
        <v>162</v>
      </c>
      <c r="C202" s="120" t="s">
        <v>9</v>
      </c>
      <c r="D202" s="178">
        <f>6*1.2*0.2*1.1*0.3*7</f>
        <v>3.3264</v>
      </c>
      <c r="E202" s="173"/>
      <c r="F202" s="68"/>
      <c r="G202" s="173"/>
      <c r="H202" s="173"/>
      <c r="I202" s="173"/>
      <c r="J202" s="173"/>
      <c r="K202" s="122"/>
    </row>
    <row r="203" spans="1:11">
      <c r="A203" s="81"/>
      <c r="B203" s="147" t="s">
        <v>11</v>
      </c>
      <c r="C203" s="23" t="s">
        <v>9</v>
      </c>
      <c r="D203" s="176">
        <f>D202</f>
        <v>3.3264</v>
      </c>
      <c r="E203" s="68"/>
      <c r="F203" s="68"/>
      <c r="G203" s="68"/>
      <c r="H203" s="68"/>
      <c r="I203" s="68"/>
      <c r="J203" s="68"/>
      <c r="K203" s="68"/>
    </row>
    <row r="204" spans="1:11">
      <c r="A204" s="81"/>
      <c r="B204" s="147" t="s">
        <v>13</v>
      </c>
      <c r="C204" s="23" t="s">
        <v>5</v>
      </c>
      <c r="D204" s="176">
        <f>D202</f>
        <v>3.3264</v>
      </c>
      <c r="E204" s="68"/>
      <c r="F204" s="68"/>
      <c r="G204" s="68"/>
      <c r="H204" s="68"/>
      <c r="I204" s="68"/>
      <c r="J204" s="68"/>
      <c r="K204" s="68"/>
    </row>
    <row r="205" spans="1:11">
      <c r="A205" s="81"/>
      <c r="B205" s="147" t="s">
        <v>12</v>
      </c>
      <c r="C205" s="23"/>
      <c r="D205" s="176"/>
      <c r="E205" s="68"/>
      <c r="F205" s="68"/>
      <c r="G205" s="68"/>
      <c r="H205" s="68"/>
      <c r="I205" s="68"/>
      <c r="J205" s="68"/>
      <c r="K205" s="68"/>
    </row>
    <row r="206" spans="1:11">
      <c r="A206" s="81"/>
      <c r="B206" s="147" t="s">
        <v>158</v>
      </c>
      <c r="C206" s="23" t="s">
        <v>9</v>
      </c>
      <c r="D206" s="176">
        <f>D202*1.02</f>
        <v>3.3929279999999999</v>
      </c>
      <c r="E206" s="68"/>
      <c r="F206" s="68"/>
      <c r="G206" s="68"/>
      <c r="H206" s="68"/>
      <c r="I206" s="68"/>
      <c r="J206" s="68"/>
      <c r="K206" s="68"/>
    </row>
    <row r="207" spans="1:11">
      <c r="A207" s="81"/>
      <c r="B207" s="147" t="s">
        <v>69</v>
      </c>
      <c r="C207" s="23" t="s">
        <v>10</v>
      </c>
      <c r="D207" s="176">
        <f>110*11.5*0.617*1.05/1000</f>
        <v>0.81953025000000002</v>
      </c>
      <c r="E207" s="68"/>
      <c r="F207" s="68"/>
      <c r="G207" s="68"/>
      <c r="H207" s="68"/>
      <c r="I207" s="68"/>
      <c r="J207" s="68"/>
      <c r="K207" s="68"/>
    </row>
    <row r="208" spans="1:11">
      <c r="A208" s="81"/>
      <c r="B208" s="147" t="s">
        <v>22</v>
      </c>
      <c r="C208" s="23" t="s">
        <v>23</v>
      </c>
      <c r="D208" s="176">
        <f>D202*2</f>
        <v>6.6528</v>
      </c>
      <c r="E208" s="68"/>
      <c r="F208" s="68"/>
      <c r="G208" s="68"/>
      <c r="H208" s="68"/>
      <c r="I208" s="68"/>
      <c r="J208" s="68"/>
      <c r="K208" s="68"/>
    </row>
    <row r="209" spans="1:11">
      <c r="A209" s="81"/>
      <c r="B209" s="147" t="s">
        <v>17</v>
      </c>
      <c r="C209" s="23" t="s">
        <v>9</v>
      </c>
      <c r="D209" s="176">
        <f>D202</f>
        <v>3.3264</v>
      </c>
      <c r="E209" s="68"/>
      <c r="F209" s="68"/>
      <c r="G209" s="68"/>
      <c r="H209" s="68"/>
      <c r="I209" s="68"/>
      <c r="J209" s="68"/>
      <c r="K209" s="68"/>
    </row>
    <row r="210" spans="1:11">
      <c r="A210" s="81"/>
      <c r="B210" s="147" t="s">
        <v>14</v>
      </c>
      <c r="C210" s="23" t="s">
        <v>5</v>
      </c>
      <c r="D210" s="176">
        <f>D202</f>
        <v>3.3264</v>
      </c>
      <c r="E210" s="68"/>
      <c r="F210" s="68"/>
      <c r="G210" s="68"/>
      <c r="H210" s="68"/>
      <c r="I210" s="68"/>
      <c r="J210" s="68"/>
      <c r="K210" s="68"/>
    </row>
    <row r="211" spans="1:11">
      <c r="A211" s="118">
        <f>A202+1</f>
        <v>11</v>
      </c>
      <c r="B211" s="172" t="s">
        <v>65</v>
      </c>
      <c r="C211" s="120" t="s">
        <v>62</v>
      </c>
      <c r="D211" s="178">
        <v>1</v>
      </c>
      <c r="E211" s="173"/>
      <c r="F211" s="68"/>
      <c r="G211" s="173"/>
      <c r="H211" s="173"/>
      <c r="I211" s="173"/>
      <c r="J211" s="173"/>
      <c r="K211" s="122"/>
    </row>
    <row r="212" spans="1:11" ht="27.6">
      <c r="A212" s="118">
        <f>A211+1</f>
        <v>12</v>
      </c>
      <c r="B212" s="172" t="s">
        <v>35</v>
      </c>
      <c r="C212" s="120" t="s">
        <v>163</v>
      </c>
      <c r="D212" s="178">
        <v>30</v>
      </c>
      <c r="E212" s="173"/>
      <c r="F212" s="68"/>
      <c r="G212" s="173"/>
      <c r="H212" s="173"/>
      <c r="I212" s="173"/>
      <c r="J212" s="173"/>
      <c r="K212" s="122"/>
    </row>
    <row r="213" spans="1:11">
      <c r="A213" s="118">
        <f>A212+1</f>
        <v>13</v>
      </c>
      <c r="B213" s="172" t="s">
        <v>41</v>
      </c>
      <c r="C213" s="120" t="s">
        <v>36</v>
      </c>
      <c r="D213" s="178">
        <f>D127+D115+D103+D89+D75+D65+D55+D42+D28+D19+D13</f>
        <v>839.79762000000005</v>
      </c>
      <c r="E213" s="173"/>
      <c r="F213" s="68"/>
      <c r="G213" s="173"/>
      <c r="H213" s="173"/>
      <c r="I213" s="173"/>
      <c r="J213" s="173"/>
      <c r="K213" s="122"/>
    </row>
    <row r="214" spans="1:11">
      <c r="A214" s="69"/>
      <c r="B214" s="70" t="s">
        <v>18</v>
      </c>
      <c r="C214" s="69"/>
      <c r="D214" s="71"/>
      <c r="E214" s="72"/>
      <c r="F214" s="179">
        <f>SUM(F9:F213)</f>
        <v>0</v>
      </c>
      <c r="G214" s="179"/>
      <c r="H214" s="179">
        <f t="shared" ref="H214:K214" si="0">SUM(H9:H213)</f>
        <v>0</v>
      </c>
      <c r="I214" s="179"/>
      <c r="J214" s="179">
        <f t="shared" si="0"/>
        <v>0</v>
      </c>
      <c r="K214" s="179">
        <f t="shared" si="0"/>
        <v>0</v>
      </c>
    </row>
    <row r="215" spans="1:11">
      <c r="A215" s="81"/>
      <c r="B215" s="75" t="s">
        <v>175</v>
      </c>
      <c r="C215" s="73" t="s">
        <v>101</v>
      </c>
      <c r="D215" s="75"/>
      <c r="E215" s="76"/>
      <c r="F215" s="77"/>
      <c r="G215" s="77"/>
      <c r="H215" s="77"/>
      <c r="I215" s="77"/>
      <c r="J215" s="77"/>
      <c r="K215" s="78"/>
    </row>
    <row r="216" spans="1:11">
      <c r="A216" s="81"/>
      <c r="B216" s="75" t="s">
        <v>18</v>
      </c>
      <c r="C216" s="73"/>
      <c r="D216" s="75"/>
      <c r="E216" s="76"/>
      <c r="F216" s="77"/>
      <c r="G216" s="77"/>
      <c r="H216" s="77"/>
      <c r="I216" s="77"/>
      <c r="J216" s="77"/>
      <c r="K216" s="78"/>
    </row>
    <row r="217" spans="1:11">
      <c r="A217" s="81"/>
      <c r="B217" s="75" t="s">
        <v>131</v>
      </c>
      <c r="C217" s="73" t="s">
        <v>101</v>
      </c>
      <c r="D217" s="75"/>
      <c r="E217" s="76"/>
      <c r="F217" s="77"/>
      <c r="G217" s="77"/>
      <c r="H217" s="77"/>
      <c r="I217" s="77"/>
      <c r="J217" s="77"/>
      <c r="K217" s="78"/>
    </row>
    <row r="218" spans="1:11">
      <c r="A218" s="81"/>
      <c r="B218" s="75" t="s">
        <v>18</v>
      </c>
      <c r="C218" s="73"/>
      <c r="D218" s="75"/>
      <c r="E218" s="76"/>
      <c r="F218" s="77"/>
      <c r="G218" s="77"/>
      <c r="H218" s="77"/>
      <c r="I218" s="77"/>
      <c r="J218" s="77"/>
      <c r="K218" s="78"/>
    </row>
    <row r="219" spans="1:11">
      <c r="A219" s="81"/>
      <c r="B219" s="75" t="s">
        <v>19</v>
      </c>
      <c r="C219" s="73" t="s">
        <v>101</v>
      </c>
      <c r="D219" s="75"/>
      <c r="E219" s="76"/>
      <c r="F219" s="77"/>
      <c r="G219" s="77"/>
      <c r="H219" s="77"/>
      <c r="I219" s="77"/>
      <c r="J219" s="77"/>
      <c r="K219" s="78"/>
    </row>
    <row r="220" spans="1:11">
      <c r="A220" s="81"/>
      <c r="B220" s="75" t="s">
        <v>18</v>
      </c>
      <c r="C220" s="73"/>
      <c r="D220" s="75"/>
      <c r="E220" s="76"/>
      <c r="F220" s="77"/>
      <c r="G220" s="77"/>
      <c r="H220" s="77"/>
      <c r="I220" s="77"/>
      <c r="J220" s="77"/>
      <c r="K220" s="78"/>
    </row>
    <row r="221" spans="1:11">
      <c r="A221" s="81"/>
      <c r="B221" s="75" t="s">
        <v>20</v>
      </c>
      <c r="C221" s="73" t="s">
        <v>101</v>
      </c>
      <c r="D221" s="75"/>
      <c r="E221" s="76"/>
      <c r="F221" s="77"/>
      <c r="G221" s="77"/>
      <c r="H221" s="77"/>
      <c r="I221" s="77"/>
      <c r="J221" s="77"/>
      <c r="K221" s="78"/>
    </row>
    <row r="222" spans="1:11">
      <c r="A222" s="81"/>
      <c r="B222" s="75" t="s">
        <v>18</v>
      </c>
      <c r="C222" s="73"/>
      <c r="D222" s="75"/>
      <c r="E222" s="76"/>
      <c r="F222" s="77"/>
      <c r="G222" s="77"/>
      <c r="H222" s="77"/>
      <c r="I222" s="77"/>
      <c r="J222" s="77"/>
      <c r="K222" s="78"/>
    </row>
    <row r="223" spans="1:11">
      <c r="A223" s="5"/>
      <c r="C223" s="7"/>
      <c r="D223" s="6"/>
    </row>
    <row r="224" spans="1:11">
      <c r="A224" s="5"/>
      <c r="C224" s="7"/>
      <c r="D224" s="6"/>
    </row>
    <row r="225" spans="1:4">
      <c r="A225" s="5"/>
      <c r="C225" s="7"/>
      <c r="D225" s="6"/>
    </row>
    <row r="226" spans="1:4">
      <c r="A226" s="5"/>
      <c r="C226" s="7"/>
      <c r="D226" s="6"/>
    </row>
    <row r="227" spans="1:4">
      <c r="A227" s="5"/>
      <c r="C227" s="7"/>
      <c r="D227" s="6"/>
    </row>
    <row r="228" spans="1:4">
      <c r="A228" s="5"/>
      <c r="C228" s="7"/>
      <c r="D228" s="6"/>
    </row>
    <row r="229" spans="1:4">
      <c r="A229" s="5"/>
      <c r="C229" s="7"/>
      <c r="D229" s="6"/>
    </row>
    <row r="230" spans="1:4">
      <c r="A230" s="5"/>
      <c r="C230" s="7"/>
      <c r="D230" s="6"/>
    </row>
    <row r="231" spans="1:4">
      <c r="A231" s="5"/>
      <c r="C231" s="7"/>
      <c r="D231" s="6"/>
    </row>
    <row r="232" spans="1:4">
      <c r="A232" s="5"/>
      <c r="C232" s="7"/>
      <c r="D232" s="6"/>
    </row>
    <row r="233" spans="1:4">
      <c r="A233" s="5"/>
      <c r="C233" s="7"/>
      <c r="D233" s="6"/>
    </row>
    <row r="234" spans="1:4">
      <c r="A234" s="5"/>
      <c r="C234" s="7"/>
      <c r="D234" s="6"/>
    </row>
    <row r="235" spans="1:4">
      <c r="A235" s="5"/>
      <c r="C235" s="7"/>
      <c r="D235" s="6"/>
    </row>
    <row r="236" spans="1:4">
      <c r="A236" s="5"/>
      <c r="C236" s="7"/>
      <c r="D236" s="6"/>
    </row>
    <row r="237" spans="1:4">
      <c r="A237" s="5"/>
      <c r="C237" s="7"/>
      <c r="D237" s="6"/>
    </row>
    <row r="238" spans="1:4">
      <c r="A238" s="5"/>
      <c r="C238" s="7"/>
      <c r="D238" s="6"/>
    </row>
    <row r="239" spans="1:4">
      <c r="A239" s="5"/>
      <c r="C239" s="7"/>
      <c r="D239" s="6"/>
    </row>
    <row r="240" spans="1:4">
      <c r="A240" s="5"/>
      <c r="C240" s="7"/>
      <c r="D240" s="6"/>
    </row>
    <row r="241" spans="1:4">
      <c r="A241" s="5"/>
      <c r="C241" s="7"/>
      <c r="D241" s="6"/>
    </row>
    <row r="242" spans="1:4">
      <c r="A242" s="5"/>
      <c r="C242" s="7"/>
      <c r="D242" s="6"/>
    </row>
    <row r="243" spans="1:4">
      <c r="A243" s="5"/>
      <c r="C243" s="7"/>
      <c r="D243" s="6"/>
    </row>
    <row r="244" spans="1:4">
      <c r="A244" s="5"/>
      <c r="C244" s="7"/>
      <c r="D244" s="6"/>
    </row>
    <row r="245" spans="1:4">
      <c r="A245" s="5"/>
      <c r="C245" s="7"/>
      <c r="D245" s="6"/>
    </row>
    <row r="246" spans="1:4">
      <c r="A246" s="5"/>
      <c r="C246" s="7"/>
      <c r="D246" s="6"/>
    </row>
    <row r="247" spans="1:4">
      <c r="A247" s="5"/>
      <c r="C247" s="7"/>
      <c r="D247" s="6"/>
    </row>
    <row r="248" spans="1:4">
      <c r="A248" s="5"/>
      <c r="C248" s="7"/>
      <c r="D248" s="6"/>
    </row>
    <row r="249" spans="1:4">
      <c r="A249" s="5"/>
      <c r="C249" s="7"/>
      <c r="D249" s="6"/>
    </row>
    <row r="250" spans="1:4">
      <c r="A250" s="5"/>
      <c r="C250" s="7"/>
      <c r="D250" s="6"/>
    </row>
    <row r="251" spans="1:4">
      <c r="A251" s="5"/>
      <c r="C251" s="7"/>
      <c r="D251" s="6"/>
    </row>
    <row r="252" spans="1:4">
      <c r="A252" s="5"/>
      <c r="C252" s="7"/>
      <c r="D252" s="6"/>
    </row>
    <row r="253" spans="1:4">
      <c r="A253" s="5"/>
      <c r="C253" s="7"/>
      <c r="D253" s="6"/>
    </row>
    <row r="254" spans="1:4">
      <c r="A254" s="5"/>
      <c r="C254" s="7"/>
      <c r="D254" s="6"/>
    </row>
    <row r="255" spans="1:4">
      <c r="A255" s="5"/>
      <c r="C255" s="7"/>
      <c r="D255" s="6"/>
    </row>
    <row r="256" spans="1:4">
      <c r="A256" s="5"/>
      <c r="C256" s="7"/>
      <c r="D256" s="6"/>
    </row>
    <row r="257" spans="1:4">
      <c r="A257" s="5"/>
      <c r="C257" s="7"/>
      <c r="D257" s="6"/>
    </row>
    <row r="258" spans="1:4">
      <c r="A258" s="5"/>
      <c r="C258" s="7"/>
      <c r="D258" s="6"/>
    </row>
    <row r="259" spans="1:4">
      <c r="A259" s="5"/>
      <c r="C259" s="7"/>
      <c r="D259" s="6"/>
    </row>
    <row r="260" spans="1:4">
      <c r="A260" s="5"/>
      <c r="C260" s="7"/>
      <c r="D260" s="6"/>
    </row>
    <row r="261" spans="1:4">
      <c r="A261" s="5"/>
      <c r="C261" s="7"/>
      <c r="D261" s="6"/>
    </row>
    <row r="262" spans="1:4">
      <c r="A262" s="5"/>
      <c r="C262" s="7"/>
      <c r="D262" s="6"/>
    </row>
    <row r="263" spans="1:4">
      <c r="A263" s="5"/>
      <c r="C263" s="7"/>
      <c r="D263" s="6"/>
    </row>
    <row r="264" spans="1:4">
      <c r="A264" s="5"/>
      <c r="C264" s="7"/>
      <c r="D264" s="6"/>
    </row>
    <row r="265" spans="1:4">
      <c r="A265" s="5"/>
      <c r="C265" s="7"/>
      <c r="D265" s="6"/>
    </row>
    <row r="266" spans="1:4">
      <c r="A266" s="5"/>
      <c r="C266" s="7"/>
      <c r="D266" s="6"/>
    </row>
    <row r="267" spans="1:4">
      <c r="A267" s="5"/>
      <c r="C267" s="7"/>
      <c r="D267" s="6"/>
    </row>
    <row r="268" spans="1:4">
      <c r="A268" s="5"/>
      <c r="C268" s="7"/>
      <c r="D268" s="6"/>
    </row>
    <row r="269" spans="1:4">
      <c r="A269" s="5"/>
      <c r="C269" s="7"/>
      <c r="D269" s="6"/>
    </row>
    <row r="270" spans="1:4">
      <c r="A270" s="5"/>
      <c r="C270" s="7"/>
      <c r="D270" s="6"/>
    </row>
    <row r="271" spans="1:4">
      <c r="A271" s="5"/>
      <c r="C271" s="7"/>
      <c r="D271" s="6"/>
    </row>
    <row r="272" spans="1:4">
      <c r="A272" s="5"/>
      <c r="C272" s="7"/>
      <c r="D272" s="6"/>
    </row>
    <row r="273" spans="1:4">
      <c r="A273" s="5"/>
      <c r="C273" s="7"/>
      <c r="D273" s="6"/>
    </row>
    <row r="274" spans="1:4">
      <c r="A274" s="5"/>
      <c r="C274" s="7"/>
      <c r="D274" s="6"/>
    </row>
    <row r="275" spans="1:4">
      <c r="A275" s="5"/>
      <c r="C275" s="7"/>
      <c r="D275" s="6"/>
    </row>
    <row r="276" spans="1:4">
      <c r="A276" s="5"/>
      <c r="C276" s="7"/>
      <c r="D276" s="6"/>
    </row>
    <row r="277" spans="1:4">
      <c r="A277" s="5"/>
      <c r="C277" s="7"/>
      <c r="D277" s="6"/>
    </row>
    <row r="278" spans="1:4">
      <c r="A278" s="5"/>
      <c r="C278" s="7"/>
      <c r="D278" s="6"/>
    </row>
    <row r="279" spans="1:4">
      <c r="A279" s="5"/>
      <c r="C279" s="7"/>
      <c r="D279" s="6"/>
    </row>
    <row r="280" spans="1:4">
      <c r="A280" s="5"/>
      <c r="C280" s="7"/>
      <c r="D280" s="6"/>
    </row>
    <row r="281" spans="1:4">
      <c r="A281" s="5"/>
      <c r="C281" s="7"/>
      <c r="D281" s="6"/>
    </row>
    <row r="282" spans="1:4">
      <c r="A282" s="5"/>
      <c r="C282" s="7"/>
      <c r="D282" s="6"/>
    </row>
    <row r="283" spans="1:4">
      <c r="A283" s="5"/>
      <c r="C283" s="7"/>
      <c r="D283" s="6"/>
    </row>
    <row r="284" spans="1:4">
      <c r="A284" s="5"/>
      <c r="C284" s="7"/>
      <c r="D284" s="6"/>
    </row>
    <row r="285" spans="1:4">
      <c r="A285" s="5"/>
      <c r="C285" s="7"/>
      <c r="D285" s="6"/>
    </row>
    <row r="286" spans="1:4">
      <c r="A286" s="5"/>
      <c r="C286" s="7"/>
      <c r="D286" s="6"/>
    </row>
    <row r="287" spans="1:4">
      <c r="A287" s="5"/>
      <c r="C287" s="7"/>
      <c r="D287" s="6"/>
    </row>
    <row r="288" spans="1:4">
      <c r="A288" s="5"/>
      <c r="C288" s="7"/>
      <c r="D288" s="6"/>
    </row>
    <row r="289" spans="1:4">
      <c r="A289" s="5"/>
      <c r="C289" s="7"/>
      <c r="D289" s="6"/>
    </row>
    <row r="290" spans="1:4">
      <c r="A290" s="5"/>
      <c r="C290" s="7"/>
      <c r="D290" s="6"/>
    </row>
    <row r="291" spans="1:4">
      <c r="A291" s="5"/>
      <c r="C291" s="7"/>
      <c r="D291" s="6"/>
    </row>
    <row r="292" spans="1:4">
      <c r="A292" s="5"/>
      <c r="C292" s="7"/>
      <c r="D292" s="6"/>
    </row>
    <row r="293" spans="1:4">
      <c r="A293" s="5"/>
      <c r="C293" s="7"/>
      <c r="D293" s="6"/>
    </row>
    <row r="294" spans="1:4">
      <c r="A294" s="5"/>
      <c r="C294" s="7"/>
      <c r="D294" s="6"/>
    </row>
    <row r="295" spans="1:4">
      <c r="A295" s="5"/>
      <c r="C295" s="7"/>
      <c r="D295" s="6"/>
    </row>
    <row r="296" spans="1:4">
      <c r="A296" s="5"/>
      <c r="C296" s="7"/>
      <c r="D296" s="6"/>
    </row>
    <row r="297" spans="1:4">
      <c r="A297" s="5"/>
      <c r="C297" s="7"/>
      <c r="D297" s="6"/>
    </row>
    <row r="298" spans="1:4">
      <c r="A298" s="5"/>
      <c r="C298" s="7"/>
      <c r="D298" s="6"/>
    </row>
    <row r="299" spans="1:4">
      <c r="A299" s="5"/>
      <c r="C299" s="7"/>
      <c r="D299" s="6"/>
    </row>
    <row r="300" spans="1:4">
      <c r="A300" s="5"/>
      <c r="C300" s="7"/>
      <c r="D300" s="6"/>
    </row>
    <row r="301" spans="1:4">
      <c r="A301" s="5"/>
      <c r="C301" s="7"/>
      <c r="D301" s="6"/>
    </row>
    <row r="302" spans="1:4">
      <c r="A302" s="5"/>
      <c r="C302" s="7"/>
      <c r="D302" s="6"/>
    </row>
    <row r="303" spans="1:4">
      <c r="A303" s="5"/>
      <c r="C303" s="7"/>
      <c r="D303" s="6"/>
    </row>
    <row r="304" spans="1:4">
      <c r="A304" s="5"/>
      <c r="C304" s="7"/>
      <c r="D304" s="6"/>
    </row>
    <row r="305" spans="1:4">
      <c r="A305" s="5"/>
      <c r="C305" s="7"/>
      <c r="D305" s="6"/>
    </row>
    <row r="306" spans="1:4">
      <c r="A306" s="5"/>
      <c r="C306" s="7"/>
      <c r="D306" s="6"/>
    </row>
    <row r="307" spans="1:4">
      <c r="A307" s="5"/>
      <c r="C307" s="7"/>
      <c r="D307" s="6"/>
    </row>
    <row r="308" spans="1:4">
      <c r="A308" s="5"/>
      <c r="C308" s="7"/>
      <c r="D308" s="6"/>
    </row>
    <row r="309" spans="1:4">
      <c r="A309" s="5"/>
      <c r="C309" s="7"/>
      <c r="D309" s="6"/>
    </row>
    <row r="310" spans="1:4">
      <c r="A310" s="5"/>
      <c r="C310" s="7"/>
      <c r="D310" s="6"/>
    </row>
    <row r="311" spans="1:4">
      <c r="A311" s="5"/>
      <c r="C311" s="7"/>
      <c r="D311" s="6"/>
    </row>
    <row r="312" spans="1:4">
      <c r="A312" s="5"/>
      <c r="C312" s="7"/>
      <c r="D312" s="6"/>
    </row>
    <row r="313" spans="1:4">
      <c r="A313" s="5"/>
      <c r="C313" s="7"/>
      <c r="D313" s="6"/>
    </row>
    <row r="314" spans="1:4">
      <c r="A314" s="5"/>
      <c r="C314" s="7"/>
      <c r="D314" s="6"/>
    </row>
    <row r="315" spans="1:4">
      <c r="A315" s="5"/>
      <c r="C315" s="7"/>
      <c r="D315" s="6"/>
    </row>
    <row r="316" spans="1:4">
      <c r="A316" s="5"/>
      <c r="C316" s="7"/>
      <c r="D316" s="6"/>
    </row>
    <row r="317" spans="1:4">
      <c r="A317" s="5"/>
      <c r="C317" s="7"/>
      <c r="D317" s="6"/>
    </row>
    <row r="318" spans="1:4">
      <c r="A318" s="5"/>
      <c r="C318" s="7"/>
      <c r="D318" s="6"/>
    </row>
    <row r="319" spans="1:4">
      <c r="A319" s="5"/>
      <c r="C319" s="7"/>
      <c r="D319" s="6"/>
    </row>
    <row r="320" spans="1:4">
      <c r="A320" s="5"/>
      <c r="C320" s="7"/>
      <c r="D320" s="6"/>
    </row>
    <row r="321" spans="1:4">
      <c r="A321" s="5"/>
      <c r="C321" s="7"/>
      <c r="D321" s="6"/>
    </row>
    <row r="322" spans="1:4">
      <c r="A322" s="5"/>
      <c r="C322" s="7"/>
      <c r="D322" s="6"/>
    </row>
    <row r="323" spans="1:4">
      <c r="A323" s="5"/>
      <c r="C323" s="7"/>
      <c r="D323" s="6"/>
    </row>
    <row r="324" spans="1:4">
      <c r="A324" s="5"/>
      <c r="C324" s="7"/>
      <c r="D324" s="6"/>
    </row>
    <row r="325" spans="1:4">
      <c r="A325" s="5"/>
      <c r="C325" s="7"/>
      <c r="D325" s="6"/>
    </row>
    <row r="326" spans="1:4">
      <c r="A326" s="5"/>
      <c r="C326" s="7"/>
      <c r="D326" s="6"/>
    </row>
    <row r="327" spans="1:4">
      <c r="A327" s="5"/>
      <c r="C327" s="7"/>
      <c r="D327" s="6"/>
    </row>
    <row r="328" spans="1:4">
      <c r="A328" s="5"/>
      <c r="C328" s="7"/>
      <c r="D328" s="6"/>
    </row>
    <row r="329" spans="1:4">
      <c r="A329" s="5"/>
      <c r="C329" s="7"/>
      <c r="D329" s="6"/>
    </row>
    <row r="330" spans="1:4">
      <c r="A330" s="5"/>
      <c r="C330" s="7"/>
      <c r="D330" s="6"/>
    </row>
    <row r="331" spans="1:4">
      <c r="A331" s="5"/>
      <c r="C331" s="7"/>
      <c r="D331" s="6"/>
    </row>
    <row r="332" spans="1:4">
      <c r="A332" s="5"/>
      <c r="C332" s="7"/>
      <c r="D332" s="6"/>
    </row>
    <row r="333" spans="1:4">
      <c r="A333" s="5"/>
      <c r="C333" s="7"/>
      <c r="D333" s="6"/>
    </row>
    <row r="334" spans="1:4">
      <c r="A334" s="5"/>
      <c r="C334" s="7"/>
      <c r="D334" s="6"/>
    </row>
    <row r="335" spans="1:4">
      <c r="A335" s="5"/>
      <c r="C335" s="7"/>
      <c r="D335" s="6"/>
    </row>
    <row r="336" spans="1:4">
      <c r="A336" s="5"/>
      <c r="C336" s="7"/>
      <c r="D336" s="6"/>
    </row>
    <row r="337" spans="1:4">
      <c r="A337" s="5"/>
      <c r="C337" s="7"/>
      <c r="D337" s="6"/>
    </row>
    <row r="338" spans="1:4">
      <c r="A338" s="5"/>
      <c r="C338" s="7"/>
      <c r="D338" s="6"/>
    </row>
    <row r="339" spans="1:4">
      <c r="A339" s="5"/>
      <c r="C339" s="7"/>
      <c r="D339" s="6"/>
    </row>
    <row r="340" spans="1:4">
      <c r="A340" s="5"/>
      <c r="C340" s="7"/>
      <c r="D340" s="6"/>
    </row>
    <row r="341" spans="1:4">
      <c r="A341" s="5"/>
      <c r="C341" s="7"/>
      <c r="D341" s="6"/>
    </row>
    <row r="342" spans="1:4">
      <c r="A342" s="5"/>
      <c r="C342" s="7"/>
      <c r="D342" s="6"/>
    </row>
    <row r="343" spans="1:4">
      <c r="A343" s="5"/>
      <c r="C343" s="7"/>
      <c r="D343" s="6"/>
    </row>
    <row r="344" spans="1:4">
      <c r="A344" s="5"/>
      <c r="C344" s="7"/>
      <c r="D344" s="6"/>
    </row>
    <row r="345" spans="1:4">
      <c r="A345" s="5"/>
      <c r="C345" s="7"/>
      <c r="D345" s="6"/>
    </row>
    <row r="346" spans="1:4">
      <c r="A346" s="5"/>
      <c r="C346" s="7"/>
      <c r="D346" s="6"/>
    </row>
    <row r="347" spans="1:4">
      <c r="A347" s="5"/>
      <c r="C347" s="7"/>
      <c r="D347" s="6"/>
    </row>
    <row r="348" spans="1:4">
      <c r="A348" s="5"/>
      <c r="C348" s="7"/>
      <c r="D348" s="6"/>
    </row>
    <row r="349" spans="1:4">
      <c r="A349" s="5"/>
      <c r="C349" s="7"/>
      <c r="D349" s="6"/>
    </row>
    <row r="350" spans="1:4">
      <c r="A350" s="5"/>
      <c r="C350" s="7"/>
      <c r="D350" s="6"/>
    </row>
    <row r="351" spans="1:4">
      <c r="A351" s="5"/>
      <c r="C351" s="7"/>
      <c r="D351" s="6"/>
    </row>
    <row r="352" spans="1:4">
      <c r="A352" s="5"/>
      <c r="C352" s="7"/>
      <c r="D352" s="6"/>
    </row>
    <row r="353" spans="1:4">
      <c r="A353" s="5"/>
      <c r="C353" s="7"/>
      <c r="D353" s="6"/>
    </row>
    <row r="354" spans="1:4">
      <c r="A354" s="5"/>
      <c r="C354" s="7"/>
      <c r="D354" s="6"/>
    </row>
    <row r="355" spans="1:4">
      <c r="A355" s="5"/>
      <c r="C355" s="7"/>
      <c r="D355" s="6"/>
    </row>
    <row r="356" spans="1:4">
      <c r="A356" s="5"/>
      <c r="C356" s="7"/>
      <c r="D356" s="6"/>
    </row>
    <row r="357" spans="1:4">
      <c r="A357" s="5"/>
      <c r="C357" s="7"/>
      <c r="D357" s="6"/>
    </row>
    <row r="358" spans="1:4">
      <c r="A358" s="5"/>
      <c r="C358" s="7"/>
      <c r="D358" s="6"/>
    </row>
    <row r="359" spans="1:4">
      <c r="A359" s="5"/>
      <c r="C359" s="7"/>
      <c r="D359" s="6"/>
    </row>
    <row r="360" spans="1:4">
      <c r="A360" s="5"/>
      <c r="C360" s="7"/>
      <c r="D360" s="6"/>
    </row>
    <row r="361" spans="1:4">
      <c r="A361" s="5"/>
      <c r="C361" s="7"/>
      <c r="D361" s="6"/>
    </row>
    <row r="362" spans="1:4">
      <c r="A362" s="5"/>
      <c r="C362" s="7"/>
      <c r="D362" s="6"/>
    </row>
    <row r="363" spans="1:4">
      <c r="A363" s="5"/>
      <c r="C363" s="7"/>
      <c r="D363" s="6"/>
    </row>
    <row r="364" spans="1:4">
      <c r="A364" s="5"/>
      <c r="C364" s="7"/>
      <c r="D364" s="6"/>
    </row>
    <row r="365" spans="1:4">
      <c r="A365" s="5"/>
      <c r="C365" s="7"/>
      <c r="D365" s="6"/>
    </row>
    <row r="366" spans="1:4">
      <c r="A366" s="5"/>
      <c r="C366" s="7"/>
      <c r="D366" s="6"/>
    </row>
    <row r="367" spans="1:4">
      <c r="A367" s="5"/>
      <c r="C367" s="7"/>
      <c r="D367" s="6"/>
    </row>
    <row r="368" spans="1:4">
      <c r="A368" s="5"/>
      <c r="C368" s="7"/>
      <c r="D368" s="6"/>
    </row>
    <row r="369" spans="1:4">
      <c r="A369" s="5"/>
      <c r="C369" s="7"/>
      <c r="D369" s="6"/>
    </row>
    <row r="370" spans="1:4">
      <c r="A370" s="5"/>
      <c r="C370" s="7"/>
      <c r="D370" s="6"/>
    </row>
    <row r="371" spans="1:4">
      <c r="A371" s="5"/>
      <c r="C371" s="7"/>
      <c r="D371" s="6"/>
    </row>
    <row r="372" spans="1:4">
      <c r="A372" s="5"/>
      <c r="C372" s="7"/>
      <c r="D372" s="6"/>
    </row>
    <row r="373" spans="1:4">
      <c r="A373" s="5"/>
      <c r="C373" s="7"/>
      <c r="D373" s="6"/>
    </row>
    <row r="374" spans="1:4">
      <c r="A374" s="5"/>
      <c r="C374" s="7"/>
      <c r="D374" s="6"/>
    </row>
    <row r="375" spans="1:4">
      <c r="A375" s="5"/>
      <c r="C375" s="7"/>
      <c r="D375" s="6"/>
    </row>
    <row r="376" spans="1:4">
      <c r="A376" s="5"/>
      <c r="C376" s="7"/>
      <c r="D376" s="6"/>
    </row>
    <row r="377" spans="1:4">
      <c r="A377" s="5"/>
      <c r="C377" s="7"/>
      <c r="D377" s="6"/>
    </row>
    <row r="378" spans="1:4">
      <c r="A378" s="5"/>
      <c r="C378" s="7"/>
      <c r="D378" s="6"/>
    </row>
    <row r="379" spans="1:4">
      <c r="A379" s="5"/>
      <c r="C379" s="7"/>
      <c r="D379" s="6"/>
    </row>
    <row r="380" spans="1:4">
      <c r="A380" s="5"/>
      <c r="C380" s="7"/>
      <c r="D380" s="6"/>
    </row>
    <row r="381" spans="1:4">
      <c r="A381" s="5"/>
      <c r="C381" s="7"/>
      <c r="D381" s="6"/>
    </row>
    <row r="382" spans="1:4">
      <c r="A382" s="5"/>
      <c r="C382" s="7"/>
      <c r="D382" s="6"/>
    </row>
    <row r="383" spans="1:4">
      <c r="A383" s="5"/>
      <c r="C383" s="7"/>
      <c r="D383" s="6"/>
    </row>
    <row r="384" spans="1:4">
      <c r="A384" s="5"/>
      <c r="C384" s="7"/>
      <c r="D384" s="6"/>
    </row>
    <row r="385" spans="1:4">
      <c r="A385" s="5"/>
      <c r="C385" s="7"/>
      <c r="D385" s="6"/>
    </row>
    <row r="386" spans="1:4">
      <c r="A386" s="5"/>
      <c r="C386" s="7"/>
      <c r="D386" s="6"/>
    </row>
    <row r="387" spans="1:4">
      <c r="A387" s="5"/>
      <c r="C387" s="7"/>
      <c r="D387" s="6"/>
    </row>
    <row r="388" spans="1:4">
      <c r="A388" s="5"/>
      <c r="C388" s="7"/>
      <c r="D388" s="6"/>
    </row>
    <row r="389" spans="1:4">
      <c r="A389" s="5"/>
      <c r="C389" s="7"/>
      <c r="D389" s="6"/>
    </row>
    <row r="390" spans="1:4">
      <c r="A390" s="5"/>
      <c r="C390" s="7"/>
      <c r="D390" s="6"/>
    </row>
    <row r="391" spans="1:4">
      <c r="A391" s="5"/>
      <c r="C391" s="7"/>
      <c r="D391" s="6"/>
    </row>
    <row r="392" spans="1:4">
      <c r="A392" s="5"/>
      <c r="C392" s="7"/>
      <c r="D392" s="6"/>
    </row>
    <row r="393" spans="1:4">
      <c r="A393" s="5"/>
      <c r="C393" s="7"/>
      <c r="D393" s="6"/>
    </row>
    <row r="394" spans="1:4">
      <c r="A394" s="5"/>
      <c r="C394" s="7"/>
      <c r="D394" s="6"/>
    </row>
    <row r="395" spans="1:4">
      <c r="A395" s="5"/>
      <c r="C395" s="7"/>
      <c r="D395" s="6"/>
    </row>
    <row r="396" spans="1:4">
      <c r="A396" s="5"/>
      <c r="C396" s="7"/>
      <c r="D396" s="6"/>
    </row>
    <row r="397" spans="1:4">
      <c r="A397" s="5"/>
      <c r="C397" s="7"/>
      <c r="D397" s="6"/>
    </row>
    <row r="398" spans="1:4">
      <c r="A398" s="5"/>
      <c r="C398" s="7"/>
      <c r="D398" s="6"/>
    </row>
    <row r="399" spans="1:4">
      <c r="A399" s="5"/>
      <c r="C399" s="7"/>
      <c r="D399" s="6"/>
    </row>
    <row r="400" spans="1:4">
      <c r="A400" s="5"/>
      <c r="C400" s="7"/>
      <c r="D400" s="6"/>
    </row>
    <row r="401" spans="1:4">
      <c r="A401" s="5"/>
      <c r="C401" s="7"/>
      <c r="D401" s="6"/>
    </row>
    <row r="402" spans="1:4">
      <c r="A402" s="5"/>
      <c r="C402" s="7"/>
      <c r="D402" s="6"/>
    </row>
    <row r="403" spans="1:4">
      <c r="A403" s="5"/>
      <c r="C403" s="7"/>
      <c r="D403" s="6"/>
    </row>
    <row r="404" spans="1:4">
      <c r="A404" s="5"/>
      <c r="C404" s="7"/>
      <c r="D404" s="6"/>
    </row>
    <row r="405" spans="1:4">
      <c r="A405" s="5"/>
      <c r="C405" s="7"/>
      <c r="D405" s="6"/>
    </row>
    <row r="406" spans="1:4">
      <c r="A406" s="5"/>
      <c r="C406" s="7"/>
      <c r="D406" s="6"/>
    </row>
    <row r="407" spans="1:4">
      <c r="A407" s="5"/>
      <c r="C407" s="7"/>
      <c r="D407" s="6"/>
    </row>
    <row r="408" spans="1:4">
      <c r="A408" s="5"/>
      <c r="C408" s="7"/>
      <c r="D408" s="6"/>
    </row>
    <row r="409" spans="1:4">
      <c r="A409" s="5"/>
      <c r="C409" s="7"/>
      <c r="D409" s="6"/>
    </row>
    <row r="410" spans="1:4">
      <c r="A410" s="5"/>
      <c r="C410" s="7"/>
      <c r="D410" s="6"/>
    </row>
    <row r="411" spans="1:4">
      <c r="A411" s="5"/>
      <c r="C411" s="7"/>
      <c r="D411" s="6"/>
    </row>
    <row r="412" spans="1:4">
      <c r="A412" s="5"/>
      <c r="C412" s="7"/>
      <c r="D412" s="6"/>
    </row>
    <row r="413" spans="1:4">
      <c r="A413" s="5"/>
      <c r="C413" s="7"/>
      <c r="D413" s="6"/>
    </row>
    <row r="414" spans="1:4">
      <c r="A414" s="5"/>
      <c r="C414" s="7"/>
      <c r="D414" s="6"/>
    </row>
    <row r="415" spans="1:4">
      <c r="A415" s="5"/>
      <c r="C415" s="7"/>
      <c r="D415" s="6"/>
    </row>
    <row r="416" spans="1:4">
      <c r="A416" s="5"/>
      <c r="C416" s="7"/>
      <c r="D416" s="6"/>
    </row>
    <row r="417" spans="1:4">
      <c r="A417" s="5"/>
      <c r="C417" s="7"/>
      <c r="D417" s="6"/>
    </row>
    <row r="418" spans="1:4">
      <c r="A418" s="5"/>
      <c r="C418" s="7"/>
      <c r="D418" s="6"/>
    </row>
    <row r="419" spans="1:4">
      <c r="A419" s="5"/>
      <c r="C419" s="7"/>
      <c r="D419" s="6"/>
    </row>
    <row r="420" spans="1:4">
      <c r="A420" s="5"/>
      <c r="C420" s="7"/>
      <c r="D420" s="6"/>
    </row>
    <row r="421" spans="1:4">
      <c r="A421" s="5"/>
      <c r="C421" s="7"/>
      <c r="D421" s="6"/>
    </row>
    <row r="422" spans="1:4">
      <c r="A422" s="5"/>
      <c r="C422" s="7"/>
      <c r="D422" s="6"/>
    </row>
    <row r="423" spans="1:4">
      <c r="A423" s="5"/>
      <c r="C423" s="7"/>
      <c r="D423" s="6"/>
    </row>
    <row r="424" spans="1:4">
      <c r="A424" s="5"/>
      <c r="C424" s="7"/>
      <c r="D424" s="6"/>
    </row>
    <row r="425" spans="1:4">
      <c r="A425" s="5"/>
      <c r="C425" s="7"/>
      <c r="D425" s="6"/>
    </row>
    <row r="426" spans="1:4">
      <c r="A426" s="5"/>
      <c r="C426" s="7"/>
      <c r="D426" s="6"/>
    </row>
    <row r="427" spans="1:4">
      <c r="A427" s="5"/>
      <c r="C427" s="7"/>
      <c r="D427" s="6"/>
    </row>
    <row r="428" spans="1:4">
      <c r="A428" s="5"/>
      <c r="C428" s="7"/>
      <c r="D428" s="6"/>
    </row>
    <row r="429" spans="1:4">
      <c r="A429" s="5"/>
      <c r="C429" s="7"/>
      <c r="D429" s="6"/>
    </row>
    <row r="430" spans="1:4">
      <c r="A430" s="5"/>
      <c r="C430" s="7"/>
      <c r="D430" s="6"/>
    </row>
    <row r="431" spans="1:4">
      <c r="A431" s="5"/>
      <c r="C431" s="7"/>
      <c r="D431" s="6"/>
    </row>
    <row r="432" spans="1:4">
      <c r="A432" s="5"/>
      <c r="C432" s="7"/>
      <c r="D432" s="6"/>
    </row>
    <row r="433" spans="1:4">
      <c r="A433" s="5"/>
      <c r="C433" s="7"/>
      <c r="D433" s="6"/>
    </row>
    <row r="434" spans="1:4">
      <c r="A434" s="5"/>
      <c r="C434" s="7"/>
      <c r="D434" s="6"/>
    </row>
    <row r="435" spans="1:4">
      <c r="A435" s="5"/>
      <c r="C435" s="7"/>
      <c r="D435" s="6"/>
    </row>
    <row r="436" spans="1:4">
      <c r="A436" s="5"/>
      <c r="C436" s="7"/>
      <c r="D436" s="6"/>
    </row>
    <row r="437" spans="1:4">
      <c r="A437" s="5"/>
      <c r="C437" s="7"/>
      <c r="D437" s="6"/>
    </row>
    <row r="438" spans="1:4">
      <c r="A438" s="5"/>
      <c r="C438" s="7"/>
      <c r="D438" s="6"/>
    </row>
    <row r="439" spans="1:4">
      <c r="A439" s="5"/>
      <c r="C439" s="7"/>
      <c r="D439" s="6"/>
    </row>
    <row r="440" spans="1:4">
      <c r="A440" s="5"/>
      <c r="C440" s="7"/>
      <c r="D440" s="6"/>
    </row>
    <row r="441" spans="1:4">
      <c r="A441" s="5"/>
      <c r="C441" s="7"/>
      <c r="D441" s="6"/>
    </row>
    <row r="442" spans="1:4">
      <c r="A442" s="5"/>
      <c r="C442" s="7"/>
      <c r="D442" s="6"/>
    </row>
    <row r="443" spans="1:4">
      <c r="A443" s="5"/>
      <c r="C443" s="7"/>
      <c r="D443" s="6"/>
    </row>
    <row r="444" spans="1:4">
      <c r="A444" s="5"/>
      <c r="C444" s="7"/>
      <c r="D444" s="6"/>
    </row>
    <row r="445" spans="1:4">
      <c r="A445" s="5"/>
      <c r="C445" s="7"/>
      <c r="D445" s="6"/>
    </row>
    <row r="446" spans="1:4">
      <c r="A446" s="5"/>
      <c r="C446" s="7"/>
      <c r="D446" s="6"/>
    </row>
    <row r="447" spans="1:4">
      <c r="A447" s="5"/>
      <c r="C447" s="7"/>
      <c r="D447" s="6"/>
    </row>
    <row r="448" spans="1:4">
      <c r="A448" s="5"/>
      <c r="C448" s="7"/>
      <c r="D448" s="6"/>
    </row>
    <row r="449" spans="1:4">
      <c r="A449" s="5"/>
      <c r="C449" s="7"/>
      <c r="D449" s="6"/>
    </row>
    <row r="450" spans="1:4">
      <c r="A450" s="5"/>
      <c r="C450" s="7"/>
      <c r="D450" s="6"/>
    </row>
    <row r="451" spans="1:4">
      <c r="A451" s="5"/>
      <c r="C451" s="7"/>
      <c r="D451" s="6"/>
    </row>
    <row r="452" spans="1:4">
      <c r="A452" s="5"/>
      <c r="C452" s="7"/>
      <c r="D452" s="6"/>
    </row>
    <row r="453" spans="1:4">
      <c r="A453" s="5"/>
      <c r="C453" s="7"/>
      <c r="D453" s="6"/>
    </row>
    <row r="454" spans="1:4">
      <c r="A454" s="5"/>
      <c r="C454" s="7"/>
      <c r="D454" s="6"/>
    </row>
    <row r="455" spans="1:4">
      <c r="A455" s="5"/>
      <c r="C455" s="7"/>
      <c r="D455" s="6"/>
    </row>
    <row r="456" spans="1:4">
      <c r="A456" s="5"/>
      <c r="C456" s="7"/>
      <c r="D456" s="6"/>
    </row>
    <row r="457" spans="1:4">
      <c r="A457" s="5"/>
      <c r="C457" s="7"/>
      <c r="D457" s="6"/>
    </row>
    <row r="458" spans="1:4">
      <c r="A458" s="5"/>
      <c r="C458" s="7"/>
      <c r="D458" s="6"/>
    </row>
    <row r="459" spans="1:4">
      <c r="A459" s="5"/>
      <c r="C459" s="7"/>
      <c r="D459" s="6"/>
    </row>
    <row r="460" spans="1:4">
      <c r="A460" s="5"/>
      <c r="C460" s="7"/>
      <c r="D460" s="6"/>
    </row>
    <row r="461" spans="1:4">
      <c r="A461" s="5"/>
      <c r="C461" s="7"/>
      <c r="D461" s="6"/>
    </row>
    <row r="462" spans="1:4">
      <c r="A462" s="5"/>
      <c r="C462" s="7"/>
      <c r="D462" s="6"/>
    </row>
    <row r="463" spans="1:4">
      <c r="A463" s="5"/>
      <c r="C463" s="7"/>
      <c r="D463" s="6"/>
    </row>
    <row r="464" spans="1:4">
      <c r="A464" s="5"/>
      <c r="C464" s="7"/>
      <c r="D464" s="6"/>
    </row>
    <row r="465" spans="1:4">
      <c r="A465" s="5"/>
      <c r="C465" s="7"/>
      <c r="D465" s="6"/>
    </row>
    <row r="466" spans="1:4">
      <c r="A466" s="5"/>
      <c r="C466" s="7"/>
      <c r="D466" s="6"/>
    </row>
    <row r="467" spans="1:4">
      <c r="A467" s="5"/>
      <c r="C467" s="7"/>
      <c r="D467" s="6"/>
    </row>
    <row r="468" spans="1:4">
      <c r="A468" s="5"/>
      <c r="C468" s="7"/>
      <c r="D468" s="6"/>
    </row>
    <row r="469" spans="1:4">
      <c r="A469" s="5"/>
      <c r="C469" s="7"/>
      <c r="D469" s="6"/>
    </row>
    <row r="470" spans="1:4">
      <c r="A470" s="5"/>
      <c r="C470" s="7"/>
      <c r="D470" s="6"/>
    </row>
    <row r="471" spans="1:4">
      <c r="A471" s="5"/>
      <c r="C471" s="7"/>
      <c r="D471" s="6"/>
    </row>
    <row r="472" spans="1:4">
      <c r="A472" s="5"/>
      <c r="C472" s="7"/>
      <c r="D472" s="6"/>
    </row>
    <row r="473" spans="1:4">
      <c r="A473" s="5"/>
      <c r="C473" s="7"/>
      <c r="D473" s="6"/>
    </row>
    <row r="474" spans="1:4">
      <c r="A474" s="5"/>
      <c r="C474" s="7"/>
      <c r="D474" s="6"/>
    </row>
    <row r="475" spans="1:4">
      <c r="A475" s="5"/>
      <c r="C475" s="7"/>
      <c r="D475" s="6"/>
    </row>
    <row r="476" spans="1:4">
      <c r="A476" s="5"/>
      <c r="C476" s="7"/>
      <c r="D476" s="6"/>
    </row>
    <row r="477" spans="1:4">
      <c r="A477" s="5"/>
      <c r="C477" s="7"/>
      <c r="D477" s="6"/>
    </row>
    <row r="478" spans="1:4">
      <c r="A478" s="5"/>
      <c r="C478" s="7"/>
      <c r="D478" s="6"/>
    </row>
    <row r="479" spans="1:4">
      <c r="A479" s="5"/>
      <c r="C479" s="7"/>
      <c r="D479" s="6"/>
    </row>
    <row r="480" spans="1:4">
      <c r="A480" s="5"/>
      <c r="C480" s="7"/>
      <c r="D480" s="6"/>
    </row>
    <row r="481" spans="1:4">
      <c r="A481" s="5"/>
      <c r="C481" s="7"/>
      <c r="D481" s="6"/>
    </row>
    <row r="482" spans="1:4">
      <c r="A482" s="5"/>
      <c r="C482" s="7"/>
      <c r="D482" s="6"/>
    </row>
    <row r="483" spans="1:4">
      <c r="A483" s="5"/>
      <c r="C483" s="7"/>
      <c r="D483" s="6"/>
    </row>
    <row r="484" spans="1:4">
      <c r="A484" s="5"/>
      <c r="C484" s="7"/>
      <c r="D484" s="6"/>
    </row>
    <row r="485" spans="1:4">
      <c r="A485" s="5"/>
      <c r="C485" s="7"/>
      <c r="D485" s="6"/>
    </row>
    <row r="486" spans="1:4">
      <c r="A486" s="5"/>
      <c r="C486" s="7"/>
      <c r="D486" s="6"/>
    </row>
    <row r="487" spans="1:4">
      <c r="A487" s="5"/>
      <c r="C487" s="7"/>
      <c r="D487" s="6"/>
    </row>
    <row r="488" spans="1:4">
      <c r="A488" s="5"/>
      <c r="C488" s="7"/>
      <c r="D488" s="6"/>
    </row>
    <row r="489" spans="1:4">
      <c r="A489" s="5"/>
      <c r="C489" s="7"/>
      <c r="D489" s="6"/>
    </row>
    <row r="490" spans="1:4">
      <c r="A490" s="5"/>
      <c r="C490" s="7"/>
      <c r="D490" s="6"/>
    </row>
    <row r="491" spans="1:4">
      <c r="A491" s="5"/>
      <c r="C491" s="7"/>
      <c r="D491" s="6"/>
    </row>
    <row r="492" spans="1:4">
      <c r="A492" s="5"/>
      <c r="C492" s="7"/>
      <c r="D492" s="6"/>
    </row>
    <row r="493" spans="1:4">
      <c r="A493" s="5"/>
      <c r="C493" s="7"/>
      <c r="D493" s="6"/>
    </row>
    <row r="494" spans="1:4">
      <c r="A494" s="5"/>
      <c r="C494" s="7"/>
      <c r="D494" s="6"/>
    </row>
    <row r="495" spans="1:4">
      <c r="A495" s="5"/>
      <c r="C495" s="7"/>
      <c r="D495" s="6"/>
    </row>
    <row r="496" spans="1:4">
      <c r="A496" s="5"/>
      <c r="C496" s="7"/>
      <c r="D496" s="6"/>
    </row>
    <row r="497" spans="1:4">
      <c r="A497" s="5"/>
      <c r="C497" s="7"/>
      <c r="D497" s="6"/>
    </row>
    <row r="498" spans="1:4">
      <c r="A498" s="5"/>
      <c r="C498" s="7"/>
      <c r="D498" s="6"/>
    </row>
    <row r="499" spans="1:4">
      <c r="A499" s="5"/>
      <c r="C499" s="7"/>
      <c r="D499" s="6"/>
    </row>
    <row r="500" spans="1:4">
      <c r="A500" s="5"/>
      <c r="C500" s="7"/>
      <c r="D500" s="6"/>
    </row>
    <row r="501" spans="1:4">
      <c r="A501" s="5"/>
      <c r="C501" s="7"/>
      <c r="D501" s="6"/>
    </row>
    <row r="502" spans="1:4">
      <c r="A502" s="5"/>
      <c r="C502" s="7"/>
      <c r="D502" s="6"/>
    </row>
    <row r="503" spans="1:4">
      <c r="A503" s="5"/>
      <c r="C503" s="7"/>
      <c r="D503" s="6"/>
    </row>
    <row r="504" spans="1:4">
      <c r="A504" s="5"/>
      <c r="C504" s="7"/>
      <c r="D504" s="6"/>
    </row>
    <row r="505" spans="1:4">
      <c r="A505" s="5"/>
      <c r="C505" s="7"/>
      <c r="D505" s="6"/>
    </row>
    <row r="506" spans="1:4">
      <c r="A506" s="5"/>
      <c r="C506" s="7"/>
      <c r="D506" s="6"/>
    </row>
    <row r="507" spans="1:4">
      <c r="A507" s="5"/>
      <c r="C507" s="7"/>
      <c r="D507" s="6"/>
    </row>
    <row r="508" spans="1:4">
      <c r="A508" s="5"/>
      <c r="C508" s="7"/>
      <c r="D508" s="6"/>
    </row>
    <row r="509" spans="1:4">
      <c r="A509" s="5"/>
      <c r="C509" s="7"/>
      <c r="D509" s="6"/>
    </row>
    <row r="510" spans="1:4">
      <c r="A510" s="5"/>
      <c r="C510" s="7"/>
      <c r="D510" s="6"/>
    </row>
    <row r="511" spans="1:4">
      <c r="A511" s="5"/>
      <c r="C511" s="7"/>
      <c r="D511" s="6"/>
    </row>
    <row r="512" spans="1:4">
      <c r="A512" s="5"/>
      <c r="C512" s="7"/>
      <c r="D512" s="6"/>
    </row>
    <row r="513" spans="1:4">
      <c r="A513" s="5"/>
      <c r="C513" s="7"/>
      <c r="D513" s="6"/>
    </row>
    <row r="514" spans="1:4">
      <c r="A514" s="5"/>
      <c r="C514" s="7"/>
      <c r="D514" s="6"/>
    </row>
    <row r="515" spans="1:4">
      <c r="A515" s="5"/>
      <c r="C515" s="7"/>
      <c r="D515" s="6"/>
    </row>
    <row r="516" spans="1:4">
      <c r="A516" s="5"/>
      <c r="C516" s="7"/>
      <c r="D516" s="6"/>
    </row>
    <row r="517" spans="1:4">
      <c r="A517" s="5"/>
      <c r="C517" s="7"/>
      <c r="D517" s="6"/>
    </row>
    <row r="518" spans="1:4">
      <c r="A518" s="5"/>
      <c r="C518" s="7"/>
      <c r="D518" s="6"/>
    </row>
    <row r="519" spans="1:4">
      <c r="A519" s="5"/>
      <c r="C519" s="7"/>
      <c r="D519" s="6"/>
    </row>
    <row r="520" spans="1:4">
      <c r="A520" s="5"/>
      <c r="C520" s="7"/>
      <c r="D520" s="6"/>
    </row>
    <row r="521" spans="1:4">
      <c r="A521" s="5"/>
      <c r="C521" s="7"/>
      <c r="D521" s="6"/>
    </row>
    <row r="522" spans="1:4">
      <c r="A522" s="5"/>
      <c r="C522" s="7"/>
      <c r="D522" s="6"/>
    </row>
    <row r="523" spans="1:4">
      <c r="A523" s="5"/>
      <c r="C523" s="7"/>
      <c r="D523" s="6"/>
    </row>
    <row r="524" spans="1:4">
      <c r="A524" s="5"/>
      <c r="C524" s="7"/>
      <c r="D524" s="6"/>
    </row>
    <row r="525" spans="1:4">
      <c r="A525" s="5"/>
      <c r="C525" s="7"/>
      <c r="D525" s="6"/>
    </row>
    <row r="526" spans="1:4">
      <c r="A526" s="5"/>
      <c r="C526" s="7"/>
      <c r="D526" s="6"/>
    </row>
    <row r="527" spans="1:4">
      <c r="A527" s="5"/>
      <c r="C527" s="7"/>
      <c r="D527" s="6"/>
    </row>
    <row r="528" spans="1:4">
      <c r="A528" s="5"/>
      <c r="C528" s="7"/>
      <c r="D528" s="6"/>
    </row>
    <row r="529" spans="1:4">
      <c r="A529" s="5"/>
      <c r="C529" s="7"/>
      <c r="D529" s="6"/>
    </row>
    <row r="530" spans="1:4">
      <c r="A530" s="5"/>
      <c r="C530" s="7"/>
      <c r="D530" s="6"/>
    </row>
    <row r="531" spans="1:4">
      <c r="A531" s="5"/>
      <c r="C531" s="7"/>
      <c r="D531" s="6"/>
    </row>
    <row r="532" spans="1:4">
      <c r="A532" s="5"/>
      <c r="C532" s="7"/>
      <c r="D532" s="6"/>
    </row>
    <row r="533" spans="1:4">
      <c r="A533" s="5"/>
      <c r="C533" s="7"/>
      <c r="D533" s="6"/>
    </row>
    <row r="534" spans="1:4">
      <c r="A534" s="5"/>
      <c r="C534" s="7"/>
      <c r="D534" s="6"/>
    </row>
    <row r="535" spans="1:4">
      <c r="A535" s="5"/>
      <c r="C535" s="7"/>
      <c r="D535" s="6"/>
    </row>
    <row r="536" spans="1:4">
      <c r="A536" s="5"/>
      <c r="C536" s="7"/>
      <c r="D536" s="6"/>
    </row>
    <row r="537" spans="1:4">
      <c r="A537" s="5"/>
      <c r="C537" s="7"/>
      <c r="D537" s="6"/>
    </row>
    <row r="538" spans="1:4">
      <c r="A538" s="5"/>
      <c r="C538" s="7"/>
      <c r="D538" s="6"/>
    </row>
    <row r="539" spans="1:4">
      <c r="A539" s="5"/>
      <c r="C539" s="7"/>
      <c r="D539" s="6"/>
    </row>
    <row r="540" spans="1:4">
      <c r="A540" s="5"/>
      <c r="C540" s="7"/>
      <c r="D540" s="6"/>
    </row>
    <row r="541" spans="1:4">
      <c r="A541" s="5"/>
      <c r="C541" s="7"/>
      <c r="D541" s="6"/>
    </row>
    <row r="542" spans="1:4">
      <c r="A542" s="5"/>
      <c r="C542" s="7"/>
      <c r="D542" s="6"/>
    </row>
    <row r="543" spans="1:4">
      <c r="A543" s="5"/>
      <c r="C543" s="7"/>
      <c r="D543" s="6"/>
    </row>
    <row r="544" spans="1:4">
      <c r="A544" s="5"/>
      <c r="C544" s="7"/>
      <c r="D544" s="6"/>
    </row>
    <row r="545" spans="1:4">
      <c r="A545" s="5"/>
      <c r="C545" s="7"/>
      <c r="D545" s="6"/>
    </row>
    <row r="546" spans="1:4">
      <c r="A546" s="5"/>
      <c r="C546" s="7"/>
      <c r="D546" s="6"/>
    </row>
    <row r="547" spans="1:4">
      <c r="A547" s="5"/>
      <c r="C547" s="7"/>
      <c r="D547" s="6"/>
    </row>
    <row r="548" spans="1:4">
      <c r="A548" s="5"/>
      <c r="C548" s="7"/>
      <c r="D548" s="6"/>
    </row>
    <row r="549" spans="1:4">
      <c r="A549" s="5"/>
      <c r="C549" s="7"/>
      <c r="D549" s="6"/>
    </row>
    <row r="550" spans="1:4">
      <c r="A550" s="5"/>
      <c r="C550" s="7"/>
      <c r="D550" s="6"/>
    </row>
    <row r="551" spans="1:4">
      <c r="A551" s="5"/>
      <c r="C551" s="7"/>
      <c r="D551" s="6"/>
    </row>
    <row r="552" spans="1:4">
      <c r="A552" s="5"/>
      <c r="C552" s="7"/>
      <c r="D552" s="6"/>
    </row>
    <row r="553" spans="1:4">
      <c r="A553" s="5"/>
      <c r="C553" s="7"/>
      <c r="D553" s="6"/>
    </row>
    <row r="554" spans="1:4">
      <c r="A554" s="5"/>
      <c r="C554" s="7"/>
      <c r="D554" s="6"/>
    </row>
    <row r="555" spans="1:4">
      <c r="A555" s="5"/>
      <c r="C555" s="7"/>
      <c r="D555" s="6"/>
    </row>
    <row r="556" spans="1:4">
      <c r="A556" s="5"/>
      <c r="C556" s="7"/>
      <c r="D556" s="6"/>
    </row>
    <row r="557" spans="1:4">
      <c r="A557" s="5"/>
      <c r="C557" s="7"/>
      <c r="D557" s="6"/>
    </row>
    <row r="558" spans="1:4">
      <c r="A558" s="5"/>
      <c r="C558" s="7"/>
      <c r="D558" s="6"/>
    </row>
    <row r="559" spans="1:4">
      <c r="A559" s="5"/>
      <c r="C559" s="7"/>
      <c r="D559" s="6"/>
    </row>
    <row r="560" spans="1:4">
      <c r="A560" s="5"/>
      <c r="C560" s="7"/>
      <c r="D560" s="6"/>
    </row>
    <row r="561" spans="1:4">
      <c r="A561" s="5"/>
      <c r="C561" s="7"/>
      <c r="D561" s="6"/>
    </row>
    <row r="562" spans="1:4">
      <c r="A562" s="5"/>
      <c r="C562" s="7"/>
      <c r="D562" s="6"/>
    </row>
    <row r="563" spans="1:4">
      <c r="A563" s="5"/>
      <c r="C563" s="7"/>
      <c r="D563" s="6"/>
    </row>
    <row r="564" spans="1:4">
      <c r="A564" s="5"/>
      <c r="C564" s="7"/>
      <c r="D564" s="6"/>
    </row>
    <row r="565" spans="1:4">
      <c r="A565" s="5"/>
      <c r="C565" s="7"/>
      <c r="D565" s="6"/>
    </row>
    <row r="566" spans="1:4">
      <c r="A566" s="5"/>
      <c r="C566" s="7"/>
      <c r="D566" s="6"/>
    </row>
    <row r="567" spans="1:4">
      <c r="A567" s="5"/>
      <c r="C567" s="7"/>
      <c r="D567" s="6"/>
    </row>
    <row r="568" spans="1:4">
      <c r="A568" s="5"/>
      <c r="C568" s="7"/>
      <c r="D568" s="6"/>
    </row>
    <row r="569" spans="1:4">
      <c r="A569" s="5"/>
      <c r="C569" s="7"/>
      <c r="D569" s="6"/>
    </row>
    <row r="570" spans="1:4">
      <c r="A570" s="5"/>
      <c r="C570" s="7"/>
      <c r="D570" s="6"/>
    </row>
    <row r="571" spans="1:4">
      <c r="A571" s="5"/>
      <c r="C571" s="7"/>
      <c r="D571" s="6"/>
    </row>
    <row r="572" spans="1:4">
      <c r="A572" s="5"/>
      <c r="C572" s="7"/>
      <c r="D572" s="6"/>
    </row>
    <row r="573" spans="1:4">
      <c r="A573" s="5"/>
      <c r="C573" s="7"/>
      <c r="D573" s="6"/>
    </row>
    <row r="574" spans="1:4">
      <c r="A574" s="5"/>
      <c r="C574" s="7"/>
      <c r="D574" s="6"/>
    </row>
    <row r="575" spans="1:4">
      <c r="A575" s="5"/>
      <c r="C575" s="7"/>
      <c r="D575" s="6"/>
    </row>
    <row r="576" spans="1:4">
      <c r="A576" s="5"/>
      <c r="C576" s="7"/>
      <c r="D576" s="6"/>
    </row>
    <row r="577" spans="1:4">
      <c r="A577" s="5"/>
      <c r="C577" s="7"/>
      <c r="D577" s="6"/>
    </row>
    <row r="578" spans="1:4">
      <c r="A578" s="5"/>
      <c r="C578" s="7"/>
      <c r="D578" s="6"/>
    </row>
    <row r="579" spans="1:4">
      <c r="A579" s="5"/>
      <c r="C579" s="7"/>
      <c r="D579" s="6"/>
    </row>
    <row r="580" spans="1:4">
      <c r="A580" s="5"/>
      <c r="C580" s="7"/>
      <c r="D580" s="6"/>
    </row>
    <row r="581" spans="1:4">
      <c r="A581" s="5"/>
      <c r="C581" s="7"/>
      <c r="D581" s="6"/>
    </row>
    <row r="582" spans="1:4">
      <c r="A582" s="5"/>
      <c r="C582" s="7"/>
      <c r="D582" s="6"/>
    </row>
    <row r="583" spans="1:4">
      <c r="A583" s="5"/>
      <c r="C583" s="7"/>
      <c r="D583" s="6"/>
    </row>
    <row r="584" spans="1:4">
      <c r="A584" s="5"/>
      <c r="C584" s="7"/>
      <c r="D584" s="6"/>
    </row>
    <row r="585" spans="1:4">
      <c r="A585" s="5"/>
      <c r="C585" s="7"/>
      <c r="D585" s="6"/>
    </row>
    <row r="586" spans="1:4">
      <c r="A586" s="5"/>
      <c r="C586" s="7"/>
      <c r="D586" s="6"/>
    </row>
    <row r="587" spans="1:4">
      <c r="A587" s="5"/>
      <c r="C587" s="7"/>
      <c r="D587" s="6"/>
    </row>
    <row r="588" spans="1:4">
      <c r="A588" s="5"/>
      <c r="C588" s="7"/>
      <c r="D588" s="6"/>
    </row>
    <row r="589" spans="1:4">
      <c r="A589" s="5"/>
      <c r="C589" s="7"/>
      <c r="D589" s="6"/>
    </row>
    <row r="590" spans="1:4">
      <c r="A590" s="5"/>
      <c r="C590" s="7"/>
      <c r="D590" s="6"/>
    </row>
    <row r="591" spans="1:4">
      <c r="A591" s="5"/>
      <c r="C591" s="7"/>
      <c r="D591" s="6"/>
    </row>
    <row r="592" spans="1:4">
      <c r="A592" s="5"/>
      <c r="C592" s="7"/>
      <c r="D592" s="6"/>
    </row>
    <row r="593" spans="1:4">
      <c r="A593" s="5"/>
      <c r="C593" s="7"/>
      <c r="D593" s="6"/>
    </row>
    <row r="594" spans="1:4">
      <c r="A594" s="5"/>
      <c r="C594" s="7"/>
      <c r="D594" s="6"/>
    </row>
    <row r="595" spans="1:4">
      <c r="A595" s="5"/>
      <c r="C595" s="7"/>
      <c r="D595" s="6"/>
    </row>
    <row r="596" spans="1:4">
      <c r="A596" s="5"/>
      <c r="C596" s="7"/>
      <c r="D596" s="6"/>
    </row>
    <row r="597" spans="1:4">
      <c r="A597" s="5"/>
      <c r="C597" s="7"/>
      <c r="D597" s="6"/>
    </row>
    <row r="598" spans="1:4">
      <c r="A598" s="5"/>
      <c r="C598" s="7"/>
      <c r="D598" s="6"/>
    </row>
    <row r="599" spans="1:4">
      <c r="A599" s="5"/>
      <c r="C599" s="7"/>
      <c r="D599" s="6"/>
    </row>
    <row r="600" spans="1:4">
      <c r="A600" s="5"/>
      <c r="C600" s="7"/>
      <c r="D600" s="6"/>
    </row>
    <row r="601" spans="1:4">
      <c r="A601" s="5"/>
      <c r="C601" s="7"/>
      <c r="D601" s="6"/>
    </row>
    <row r="602" spans="1:4">
      <c r="A602" s="5"/>
      <c r="C602" s="7"/>
      <c r="D602" s="6"/>
    </row>
    <row r="603" spans="1:4">
      <c r="A603" s="5"/>
      <c r="C603" s="7"/>
      <c r="D603" s="6"/>
    </row>
    <row r="604" spans="1:4">
      <c r="A604" s="5"/>
      <c r="C604" s="7"/>
      <c r="D604" s="6"/>
    </row>
    <row r="605" spans="1:4">
      <c r="A605" s="5"/>
      <c r="C605" s="7"/>
      <c r="D605" s="6"/>
    </row>
    <row r="606" spans="1:4">
      <c r="A606" s="5"/>
      <c r="C606" s="7"/>
      <c r="D606" s="6"/>
    </row>
    <row r="607" spans="1:4">
      <c r="A607" s="5"/>
      <c r="C607" s="7"/>
      <c r="D607" s="6"/>
    </row>
    <row r="608" spans="1:4">
      <c r="A608" s="5"/>
      <c r="C608" s="7"/>
      <c r="D608" s="6"/>
    </row>
    <row r="609" spans="1:4">
      <c r="A609" s="5"/>
      <c r="C609" s="7"/>
      <c r="D609" s="6"/>
    </row>
    <row r="610" spans="1:4">
      <c r="A610" s="5"/>
      <c r="C610" s="7"/>
      <c r="D610" s="6"/>
    </row>
    <row r="611" spans="1:4">
      <c r="A611" s="5"/>
      <c r="C611" s="7"/>
      <c r="D611" s="6"/>
    </row>
    <row r="612" spans="1:4">
      <c r="A612" s="5"/>
      <c r="C612" s="7"/>
      <c r="D612" s="6"/>
    </row>
    <row r="613" spans="1:4">
      <c r="A613" s="5"/>
      <c r="C613" s="7"/>
      <c r="D613" s="6"/>
    </row>
    <row r="614" spans="1:4">
      <c r="A614" s="5"/>
      <c r="C614" s="7"/>
      <c r="D614" s="6"/>
    </row>
    <row r="615" spans="1:4">
      <c r="A615" s="5"/>
      <c r="C615" s="7"/>
      <c r="D615" s="6"/>
    </row>
    <row r="616" spans="1:4">
      <c r="A616" s="5"/>
      <c r="C616" s="7"/>
      <c r="D616" s="6"/>
    </row>
    <row r="617" spans="1:4">
      <c r="A617" s="5"/>
      <c r="C617" s="7"/>
      <c r="D617" s="6"/>
    </row>
    <row r="618" spans="1:4">
      <c r="A618" s="5"/>
      <c r="C618" s="7"/>
      <c r="D618" s="6"/>
    </row>
    <row r="619" spans="1:4">
      <c r="A619" s="5"/>
      <c r="C619" s="7"/>
      <c r="D619" s="6"/>
    </row>
    <row r="620" spans="1:4">
      <c r="A620" s="5"/>
      <c r="C620" s="7"/>
      <c r="D620" s="6"/>
    </row>
    <row r="621" spans="1:4">
      <c r="A621" s="5"/>
      <c r="C621" s="7"/>
      <c r="D621" s="6"/>
    </row>
    <row r="622" spans="1:4">
      <c r="A622" s="5"/>
      <c r="C622" s="7"/>
      <c r="D622" s="6"/>
    </row>
    <row r="623" spans="1:4">
      <c r="A623" s="5"/>
      <c r="C623" s="7"/>
      <c r="D623" s="6"/>
    </row>
    <row r="624" spans="1:4">
      <c r="A624" s="5"/>
      <c r="C624" s="7"/>
      <c r="D624" s="6"/>
    </row>
    <row r="625" spans="1:4">
      <c r="A625" s="5"/>
      <c r="C625" s="7"/>
      <c r="D625" s="6"/>
    </row>
    <row r="626" spans="1:4">
      <c r="A626" s="5"/>
      <c r="C626" s="7"/>
      <c r="D626" s="6"/>
    </row>
    <row r="627" spans="1:4">
      <c r="A627" s="5"/>
      <c r="C627" s="7"/>
      <c r="D627" s="6"/>
    </row>
    <row r="628" spans="1:4">
      <c r="A628" s="5"/>
      <c r="C628" s="7"/>
      <c r="D628" s="6"/>
    </row>
    <row r="629" spans="1:4">
      <c r="A629" s="5"/>
      <c r="C629" s="7"/>
      <c r="D629" s="6"/>
    </row>
    <row r="630" spans="1:4">
      <c r="A630" s="5"/>
      <c r="C630" s="7"/>
      <c r="D630" s="6"/>
    </row>
    <row r="631" spans="1:4">
      <c r="A631" s="5"/>
      <c r="C631" s="7"/>
      <c r="D631" s="6"/>
    </row>
    <row r="632" spans="1:4">
      <c r="A632" s="5"/>
      <c r="C632" s="7"/>
      <c r="D632" s="6"/>
    </row>
    <row r="633" spans="1:4">
      <c r="A633" s="5"/>
      <c r="C633" s="7"/>
      <c r="D633" s="6"/>
    </row>
    <row r="634" spans="1:4">
      <c r="A634" s="5"/>
      <c r="C634" s="7"/>
      <c r="D634" s="6"/>
    </row>
    <row r="635" spans="1:4">
      <c r="A635" s="5"/>
      <c r="C635" s="7"/>
      <c r="D635" s="6"/>
    </row>
    <row r="636" spans="1:4">
      <c r="A636" s="5"/>
      <c r="C636" s="7"/>
      <c r="D636" s="6"/>
    </row>
    <row r="637" spans="1:4">
      <c r="A637" s="5"/>
      <c r="C637" s="7"/>
      <c r="D637" s="6"/>
    </row>
    <row r="638" spans="1:4">
      <c r="A638" s="5"/>
      <c r="C638" s="7"/>
      <c r="D638" s="6"/>
    </row>
    <row r="639" spans="1:4">
      <c r="A639" s="5"/>
      <c r="C639" s="7"/>
      <c r="D639" s="6"/>
    </row>
    <row r="640" spans="1:4">
      <c r="A640" s="5"/>
      <c r="C640" s="7"/>
      <c r="D640" s="6"/>
    </row>
    <row r="641" spans="1:4">
      <c r="A641" s="5"/>
      <c r="C641" s="7"/>
      <c r="D641" s="6"/>
    </row>
    <row r="642" spans="1:4">
      <c r="A642" s="5"/>
      <c r="C642" s="7"/>
      <c r="D642" s="6"/>
    </row>
    <row r="643" spans="1:4">
      <c r="A643" s="5"/>
      <c r="C643" s="7"/>
      <c r="D643" s="6"/>
    </row>
    <row r="644" spans="1:4">
      <c r="A644" s="5"/>
      <c r="C644" s="7"/>
      <c r="D644" s="6"/>
    </row>
    <row r="645" spans="1:4">
      <c r="A645" s="5"/>
      <c r="C645" s="7"/>
      <c r="D645" s="6"/>
    </row>
    <row r="646" spans="1:4">
      <c r="A646" s="5"/>
      <c r="C646" s="7"/>
      <c r="D646" s="6"/>
    </row>
    <row r="647" spans="1:4">
      <c r="A647" s="5"/>
      <c r="C647" s="7"/>
      <c r="D647" s="6"/>
    </row>
    <row r="648" spans="1:4">
      <c r="A648" s="5"/>
      <c r="C648" s="7"/>
      <c r="D648" s="6"/>
    </row>
    <row r="649" spans="1:4">
      <c r="A649" s="5"/>
      <c r="C649" s="7"/>
      <c r="D649" s="6"/>
    </row>
    <row r="650" spans="1:4">
      <c r="A650" s="5"/>
      <c r="C650" s="7"/>
      <c r="D650" s="6"/>
    </row>
    <row r="651" spans="1:4">
      <c r="A651" s="5"/>
      <c r="C651" s="7"/>
      <c r="D651" s="6"/>
    </row>
    <row r="652" spans="1:4">
      <c r="A652" s="5"/>
      <c r="C652" s="7"/>
      <c r="D652" s="6"/>
    </row>
    <row r="653" spans="1:4">
      <c r="A653" s="5"/>
      <c r="C653" s="7"/>
      <c r="D653" s="6"/>
    </row>
    <row r="654" spans="1:4">
      <c r="A654" s="5"/>
      <c r="C654" s="7"/>
      <c r="D654" s="6"/>
    </row>
    <row r="655" spans="1:4">
      <c r="A655" s="5"/>
      <c r="C655" s="7"/>
      <c r="D655" s="6"/>
    </row>
    <row r="656" spans="1:4">
      <c r="A656" s="5"/>
      <c r="C656" s="7"/>
      <c r="D656" s="6"/>
    </row>
    <row r="657" spans="1:4">
      <c r="A657" s="5"/>
      <c r="C657" s="7"/>
      <c r="D657" s="6"/>
    </row>
    <row r="658" spans="1:4">
      <c r="A658" s="5"/>
      <c r="C658" s="7"/>
      <c r="D658" s="6"/>
    </row>
    <row r="659" spans="1:4">
      <c r="A659" s="5"/>
      <c r="C659" s="7"/>
      <c r="D659" s="6"/>
    </row>
    <row r="660" spans="1:4">
      <c r="A660" s="5"/>
      <c r="C660" s="7"/>
      <c r="D660" s="6"/>
    </row>
    <row r="661" spans="1:4">
      <c r="A661" s="5"/>
      <c r="C661" s="7"/>
      <c r="D661" s="6"/>
    </row>
    <row r="662" spans="1:4">
      <c r="A662" s="5"/>
      <c r="C662" s="7"/>
      <c r="D662" s="6"/>
    </row>
    <row r="663" spans="1:4">
      <c r="A663" s="5"/>
      <c r="C663" s="7"/>
      <c r="D663" s="6"/>
    </row>
    <row r="664" spans="1:4">
      <c r="A664" s="5"/>
      <c r="C664" s="7"/>
      <c r="D664" s="6"/>
    </row>
    <row r="665" spans="1:4">
      <c r="A665" s="5"/>
      <c r="C665" s="7"/>
      <c r="D665" s="6"/>
    </row>
    <row r="666" spans="1:4">
      <c r="A666" s="5"/>
      <c r="C666" s="7"/>
      <c r="D666" s="6"/>
    </row>
    <row r="667" spans="1:4">
      <c r="A667" s="5"/>
      <c r="C667" s="7"/>
      <c r="D667" s="6"/>
    </row>
    <row r="668" spans="1:4">
      <c r="A668" s="5"/>
      <c r="C668" s="7"/>
      <c r="D668" s="6"/>
    </row>
    <row r="669" spans="1:4">
      <c r="A669" s="5"/>
      <c r="C669" s="7"/>
      <c r="D669" s="6"/>
    </row>
    <row r="670" spans="1:4">
      <c r="A670" s="5"/>
      <c r="C670" s="7"/>
      <c r="D670" s="6"/>
    </row>
    <row r="671" spans="1:4">
      <c r="A671" s="5"/>
      <c r="C671" s="7"/>
      <c r="D671" s="6"/>
    </row>
    <row r="672" spans="1:4">
      <c r="A672" s="5"/>
      <c r="C672" s="7"/>
      <c r="D672" s="6"/>
    </row>
    <row r="673" spans="1:4">
      <c r="A673" s="5"/>
      <c r="C673" s="7"/>
      <c r="D673" s="6"/>
    </row>
    <row r="674" spans="1:4">
      <c r="A674" s="5"/>
      <c r="C674" s="7"/>
      <c r="D674" s="6"/>
    </row>
    <row r="675" spans="1:4">
      <c r="A675" s="5"/>
      <c r="C675" s="7"/>
      <c r="D675" s="6"/>
    </row>
    <row r="676" spans="1:4">
      <c r="A676" s="5"/>
      <c r="C676" s="7"/>
      <c r="D676" s="6"/>
    </row>
    <row r="677" spans="1:4">
      <c r="A677" s="5"/>
      <c r="C677" s="7"/>
      <c r="D677" s="6"/>
    </row>
    <row r="678" spans="1:4">
      <c r="A678" s="5"/>
      <c r="C678" s="7"/>
      <c r="D678" s="6"/>
    </row>
    <row r="679" spans="1:4">
      <c r="A679" s="5"/>
      <c r="C679" s="7"/>
      <c r="D679" s="6"/>
    </row>
    <row r="680" spans="1:4">
      <c r="A680" s="5"/>
      <c r="C680" s="7"/>
      <c r="D680" s="6"/>
    </row>
    <row r="681" spans="1:4">
      <c r="A681" s="5"/>
      <c r="C681" s="7"/>
      <c r="D681" s="6"/>
    </row>
    <row r="682" spans="1:4">
      <c r="A682" s="5"/>
      <c r="C682" s="7"/>
      <c r="D682" s="6"/>
    </row>
    <row r="683" spans="1:4">
      <c r="A683" s="5"/>
      <c r="C683" s="7"/>
      <c r="D683" s="6"/>
    </row>
    <row r="684" spans="1:4">
      <c r="A684" s="5"/>
      <c r="C684" s="7"/>
      <c r="D684" s="6"/>
    </row>
    <row r="685" spans="1:4">
      <c r="A685" s="5"/>
      <c r="C685" s="7"/>
      <c r="D685" s="6"/>
    </row>
    <row r="686" spans="1:4">
      <c r="A686" s="5"/>
      <c r="C686" s="7"/>
      <c r="D686" s="6"/>
    </row>
    <row r="687" spans="1:4">
      <c r="A687" s="5"/>
      <c r="C687" s="7"/>
      <c r="D687" s="6"/>
    </row>
    <row r="688" spans="1:4">
      <c r="A688" s="5"/>
      <c r="C688" s="7"/>
      <c r="D688" s="6"/>
    </row>
    <row r="689" spans="1:4">
      <c r="A689" s="5"/>
      <c r="C689" s="7"/>
      <c r="D689" s="6"/>
    </row>
    <row r="690" spans="1:4">
      <c r="A690" s="5"/>
      <c r="C690" s="7"/>
      <c r="D690" s="6"/>
    </row>
    <row r="691" spans="1:4">
      <c r="A691" s="5"/>
      <c r="C691" s="7"/>
      <c r="D691" s="6"/>
    </row>
    <row r="692" spans="1:4">
      <c r="A692" s="5"/>
      <c r="C692" s="7"/>
      <c r="D692" s="6"/>
    </row>
    <row r="693" spans="1:4">
      <c r="A693" s="5"/>
      <c r="C693" s="7"/>
      <c r="D693" s="6"/>
    </row>
    <row r="694" spans="1:4">
      <c r="A694" s="5"/>
      <c r="C694" s="7"/>
      <c r="D694" s="6"/>
    </row>
    <row r="695" spans="1:4">
      <c r="A695" s="5"/>
      <c r="C695" s="7"/>
      <c r="D695" s="6"/>
    </row>
    <row r="696" spans="1:4">
      <c r="A696" s="5"/>
      <c r="C696" s="7"/>
      <c r="D696" s="6"/>
    </row>
    <row r="697" spans="1:4">
      <c r="A697" s="5"/>
      <c r="C697" s="7"/>
      <c r="D697" s="6"/>
    </row>
    <row r="698" spans="1:4">
      <c r="A698" s="5"/>
      <c r="C698" s="7"/>
      <c r="D698" s="6"/>
    </row>
    <row r="699" spans="1:4">
      <c r="A699" s="5"/>
      <c r="C699" s="7"/>
      <c r="D699" s="6"/>
    </row>
    <row r="700" spans="1:4">
      <c r="A700" s="5"/>
      <c r="C700" s="7"/>
      <c r="D700" s="6"/>
    </row>
    <row r="701" spans="1:4">
      <c r="A701" s="5"/>
      <c r="C701" s="7"/>
      <c r="D701" s="6"/>
    </row>
    <row r="702" spans="1:4">
      <c r="A702" s="5"/>
      <c r="C702" s="7"/>
      <c r="D702" s="6"/>
    </row>
    <row r="703" spans="1:4">
      <c r="A703" s="5"/>
      <c r="C703" s="7"/>
      <c r="D703" s="6"/>
    </row>
    <row r="704" spans="1:4">
      <c r="A704" s="5"/>
      <c r="C704" s="7"/>
      <c r="D704" s="6"/>
    </row>
    <row r="705" spans="1:4">
      <c r="A705" s="5"/>
      <c r="C705" s="7"/>
      <c r="D705" s="6"/>
    </row>
    <row r="706" spans="1:4">
      <c r="A706" s="5"/>
      <c r="C706" s="7"/>
      <c r="D706" s="6"/>
    </row>
    <row r="707" spans="1:4">
      <c r="A707" s="5"/>
      <c r="C707" s="7"/>
      <c r="D707" s="6"/>
    </row>
    <row r="708" spans="1:4">
      <c r="A708" s="5"/>
      <c r="C708" s="7"/>
      <c r="D708" s="6"/>
    </row>
    <row r="709" spans="1:4">
      <c r="A709" s="5"/>
      <c r="C709" s="7"/>
      <c r="D709" s="6"/>
    </row>
    <row r="710" spans="1:4">
      <c r="A710" s="5"/>
      <c r="C710" s="7"/>
      <c r="D710" s="6"/>
    </row>
    <row r="711" spans="1:4">
      <c r="A711" s="5"/>
      <c r="C711" s="7"/>
      <c r="D711" s="6"/>
    </row>
    <row r="712" spans="1:4">
      <c r="A712" s="5"/>
      <c r="C712" s="7"/>
      <c r="D712" s="6"/>
    </row>
    <row r="713" spans="1:4">
      <c r="A713" s="5"/>
      <c r="C713" s="7"/>
      <c r="D713" s="6"/>
    </row>
    <row r="714" spans="1:4">
      <c r="A714" s="5"/>
      <c r="C714" s="7"/>
      <c r="D714" s="6"/>
    </row>
    <row r="715" spans="1:4">
      <c r="A715" s="5"/>
      <c r="C715" s="7"/>
      <c r="D715" s="6"/>
    </row>
    <row r="716" spans="1:4">
      <c r="A716" s="5"/>
      <c r="C716" s="7"/>
      <c r="D716" s="6"/>
    </row>
    <row r="717" spans="1:4">
      <c r="A717" s="5"/>
      <c r="C717" s="7"/>
      <c r="D717" s="6"/>
    </row>
    <row r="718" spans="1:4">
      <c r="A718" s="5"/>
      <c r="C718" s="7"/>
      <c r="D718" s="6"/>
    </row>
    <row r="719" spans="1:4">
      <c r="A719" s="5"/>
      <c r="C719" s="7"/>
      <c r="D719" s="6"/>
    </row>
    <row r="720" spans="1:4">
      <c r="A720" s="5"/>
      <c r="C720" s="7"/>
      <c r="D720" s="6"/>
    </row>
    <row r="721" spans="1:4">
      <c r="A721" s="5"/>
      <c r="C721" s="7"/>
      <c r="D721" s="6"/>
    </row>
    <row r="722" spans="1:4">
      <c r="A722" s="5"/>
      <c r="C722" s="7"/>
      <c r="D722" s="6"/>
    </row>
    <row r="723" spans="1:4">
      <c r="A723" s="5"/>
      <c r="C723" s="7"/>
      <c r="D723" s="6"/>
    </row>
    <row r="724" spans="1:4">
      <c r="A724" s="5"/>
      <c r="C724" s="7"/>
      <c r="D724" s="6"/>
    </row>
    <row r="725" spans="1:4">
      <c r="A725" s="5"/>
      <c r="C725" s="7"/>
      <c r="D725" s="6"/>
    </row>
    <row r="726" spans="1:4">
      <c r="A726" s="5"/>
      <c r="C726" s="7"/>
      <c r="D726" s="6"/>
    </row>
    <row r="727" spans="1:4">
      <c r="A727" s="5"/>
      <c r="C727" s="7"/>
      <c r="D727" s="6"/>
    </row>
    <row r="728" spans="1:4">
      <c r="A728" s="5"/>
      <c r="C728" s="7"/>
      <c r="D728" s="6"/>
    </row>
    <row r="729" spans="1:4">
      <c r="A729" s="5"/>
      <c r="C729" s="7"/>
      <c r="D729" s="6"/>
    </row>
    <row r="730" spans="1:4">
      <c r="A730" s="5"/>
      <c r="C730" s="7"/>
      <c r="D730" s="6"/>
    </row>
    <row r="731" spans="1:4">
      <c r="A731" s="5"/>
      <c r="C731" s="7"/>
      <c r="D731" s="6"/>
    </row>
    <row r="732" spans="1:4">
      <c r="A732" s="5"/>
      <c r="C732" s="7"/>
      <c r="D732" s="6"/>
    </row>
    <row r="733" spans="1:4">
      <c r="A733" s="5"/>
      <c r="C733" s="7"/>
      <c r="D733" s="6"/>
    </row>
    <row r="734" spans="1:4">
      <c r="A734" s="5"/>
      <c r="C734" s="7"/>
      <c r="D734" s="6"/>
    </row>
    <row r="735" spans="1:4">
      <c r="A735" s="5"/>
      <c r="C735" s="7"/>
      <c r="D735" s="6"/>
    </row>
    <row r="736" spans="1:4">
      <c r="A736" s="5"/>
      <c r="C736" s="7"/>
      <c r="D736" s="6"/>
    </row>
    <row r="737" spans="1:4">
      <c r="A737" s="5"/>
      <c r="C737" s="7"/>
      <c r="D737" s="6"/>
    </row>
    <row r="738" spans="1:4">
      <c r="A738" s="5"/>
      <c r="C738" s="7"/>
      <c r="D738" s="6"/>
    </row>
    <row r="739" spans="1:4">
      <c r="A739" s="5"/>
      <c r="C739" s="7"/>
      <c r="D739" s="6"/>
    </row>
    <row r="740" spans="1:4">
      <c r="A740" s="5"/>
      <c r="C740" s="7"/>
      <c r="D740" s="6"/>
    </row>
    <row r="741" spans="1:4">
      <c r="A741" s="5"/>
      <c r="C741" s="7"/>
      <c r="D741" s="6"/>
    </row>
    <row r="742" spans="1:4">
      <c r="A742" s="5"/>
      <c r="C742" s="7"/>
      <c r="D742" s="6"/>
    </row>
    <row r="743" spans="1:4">
      <c r="A743" s="5"/>
      <c r="C743" s="7"/>
      <c r="D743" s="6"/>
    </row>
    <row r="744" spans="1:4">
      <c r="A744" s="5"/>
      <c r="C744" s="7"/>
      <c r="D744" s="6"/>
    </row>
    <row r="745" spans="1:4">
      <c r="A745" s="5"/>
      <c r="C745" s="7"/>
      <c r="D745" s="6"/>
    </row>
    <row r="746" spans="1:4">
      <c r="A746" s="5"/>
      <c r="C746" s="7"/>
      <c r="D746" s="6"/>
    </row>
    <row r="747" spans="1:4">
      <c r="A747" s="5"/>
      <c r="C747" s="7"/>
      <c r="D747" s="6"/>
    </row>
    <row r="748" spans="1:4">
      <c r="A748" s="5"/>
      <c r="C748" s="7"/>
      <c r="D748" s="6"/>
    </row>
    <row r="749" spans="1:4">
      <c r="A749" s="5"/>
      <c r="C749" s="7"/>
      <c r="D749" s="6"/>
    </row>
    <row r="750" spans="1:4">
      <c r="A750" s="5"/>
      <c r="C750" s="7"/>
      <c r="D750" s="6"/>
    </row>
    <row r="751" spans="1:4">
      <c r="A751" s="5"/>
      <c r="C751" s="7"/>
      <c r="D751" s="6"/>
    </row>
    <row r="752" spans="1:4">
      <c r="A752" s="5"/>
      <c r="C752" s="7"/>
      <c r="D752" s="6"/>
    </row>
    <row r="753" spans="1:4">
      <c r="A753" s="5"/>
      <c r="C753" s="7"/>
      <c r="D753" s="6"/>
    </row>
    <row r="754" spans="1:4">
      <c r="A754" s="5"/>
      <c r="C754" s="7"/>
      <c r="D754" s="6"/>
    </row>
    <row r="755" spans="1:4">
      <c r="A755" s="5"/>
      <c r="C755" s="7"/>
      <c r="D755" s="6"/>
    </row>
    <row r="756" spans="1:4">
      <c r="A756" s="5"/>
      <c r="C756" s="7"/>
      <c r="D756" s="6"/>
    </row>
    <row r="757" spans="1:4">
      <c r="A757" s="5"/>
      <c r="C757" s="7"/>
      <c r="D757" s="6"/>
    </row>
    <row r="758" spans="1:4">
      <c r="A758" s="5"/>
      <c r="C758" s="7"/>
      <c r="D758" s="6"/>
    </row>
    <row r="759" spans="1:4">
      <c r="A759" s="5"/>
      <c r="C759" s="7"/>
      <c r="D759" s="6"/>
    </row>
    <row r="760" spans="1:4">
      <c r="A760" s="5"/>
      <c r="C760" s="7"/>
      <c r="D760" s="6"/>
    </row>
    <row r="761" spans="1:4">
      <c r="A761" s="5"/>
      <c r="C761" s="7"/>
      <c r="D761" s="6"/>
    </row>
    <row r="762" spans="1:4">
      <c r="A762" s="5"/>
      <c r="C762" s="7"/>
      <c r="D762" s="6"/>
    </row>
    <row r="763" spans="1:4">
      <c r="A763" s="5"/>
      <c r="C763" s="7"/>
      <c r="D763" s="6"/>
    </row>
    <row r="764" spans="1:4">
      <c r="A764" s="5"/>
      <c r="C764" s="7"/>
      <c r="D764" s="6"/>
    </row>
    <row r="765" spans="1:4">
      <c r="A765" s="5"/>
      <c r="C765" s="7"/>
      <c r="D765" s="6"/>
    </row>
    <row r="766" spans="1:4">
      <c r="A766" s="5"/>
      <c r="C766" s="7"/>
      <c r="D766" s="6"/>
    </row>
    <row r="767" spans="1:4">
      <c r="A767" s="5"/>
      <c r="C767" s="7"/>
      <c r="D767" s="6"/>
    </row>
    <row r="768" spans="1:4">
      <c r="A768" s="5"/>
      <c r="C768" s="7"/>
      <c r="D768" s="6"/>
    </row>
    <row r="769" spans="1:4">
      <c r="A769" s="5"/>
      <c r="C769" s="7"/>
      <c r="D769" s="6"/>
    </row>
    <row r="770" spans="1:4">
      <c r="A770" s="5"/>
      <c r="C770" s="7"/>
      <c r="D770" s="6"/>
    </row>
    <row r="771" spans="1:4">
      <c r="A771" s="5"/>
      <c r="C771" s="7"/>
      <c r="D771" s="6"/>
    </row>
    <row r="772" spans="1:4">
      <c r="A772" s="5"/>
      <c r="C772" s="7"/>
      <c r="D772" s="6"/>
    </row>
    <row r="773" spans="1:4">
      <c r="A773" s="5"/>
      <c r="C773" s="7"/>
      <c r="D773" s="6"/>
    </row>
    <row r="774" spans="1:4">
      <c r="A774" s="5"/>
      <c r="C774" s="7"/>
      <c r="D774" s="6"/>
    </row>
    <row r="775" spans="1:4">
      <c r="A775" s="5"/>
      <c r="C775" s="7"/>
      <c r="D775" s="6"/>
    </row>
    <row r="776" spans="1:4">
      <c r="A776" s="5"/>
      <c r="C776" s="7"/>
      <c r="D776" s="6"/>
    </row>
    <row r="777" spans="1:4">
      <c r="A777" s="5"/>
      <c r="C777" s="7"/>
      <c r="D777" s="6"/>
    </row>
    <row r="778" spans="1:4">
      <c r="A778" s="5"/>
      <c r="C778" s="7"/>
      <c r="D778" s="6"/>
    </row>
    <row r="779" spans="1:4">
      <c r="A779" s="5"/>
      <c r="C779" s="7"/>
      <c r="D779" s="6"/>
    </row>
    <row r="780" spans="1:4">
      <c r="A780" s="5"/>
      <c r="C780" s="7"/>
      <c r="D780" s="6"/>
    </row>
    <row r="781" spans="1:4">
      <c r="A781" s="5"/>
      <c r="C781" s="7"/>
      <c r="D781" s="6"/>
    </row>
    <row r="782" spans="1:4">
      <c r="A782" s="5"/>
      <c r="C782" s="7"/>
      <c r="D782" s="6"/>
    </row>
    <row r="783" spans="1:4">
      <c r="A783" s="5"/>
      <c r="C783" s="7"/>
      <c r="D783" s="6"/>
    </row>
    <row r="784" spans="1:4">
      <c r="A784" s="5"/>
      <c r="C784" s="7"/>
      <c r="D784" s="6"/>
    </row>
    <row r="785" spans="1:4">
      <c r="A785" s="5"/>
      <c r="C785" s="7"/>
      <c r="D785" s="6"/>
    </row>
    <row r="786" spans="1:4">
      <c r="A786" s="5"/>
      <c r="C786" s="7"/>
      <c r="D786" s="6"/>
    </row>
    <row r="787" spans="1:4">
      <c r="A787" s="5"/>
      <c r="C787" s="7"/>
      <c r="D787" s="6"/>
    </row>
    <row r="788" spans="1:4">
      <c r="A788" s="5"/>
      <c r="C788" s="7"/>
      <c r="D788" s="6"/>
    </row>
    <row r="789" spans="1:4">
      <c r="A789" s="5"/>
      <c r="C789" s="7"/>
      <c r="D789" s="6"/>
    </row>
    <row r="790" spans="1:4">
      <c r="A790" s="5"/>
      <c r="C790" s="7"/>
      <c r="D790" s="6"/>
    </row>
    <row r="791" spans="1:4">
      <c r="A791" s="5"/>
      <c r="C791" s="7"/>
      <c r="D791" s="6"/>
    </row>
    <row r="792" spans="1:4">
      <c r="A792" s="5"/>
      <c r="C792" s="7"/>
      <c r="D792" s="6"/>
    </row>
    <row r="793" spans="1:4">
      <c r="A793" s="5"/>
      <c r="C793" s="7"/>
      <c r="D793" s="6"/>
    </row>
    <row r="794" spans="1:4">
      <c r="A794" s="5"/>
      <c r="C794" s="7"/>
      <c r="D794" s="6"/>
    </row>
    <row r="795" spans="1:4">
      <c r="A795" s="5"/>
      <c r="C795" s="7"/>
      <c r="D795" s="6"/>
    </row>
    <row r="796" spans="1:4">
      <c r="A796" s="5"/>
      <c r="C796" s="7"/>
      <c r="D796" s="6"/>
    </row>
    <row r="797" spans="1:4">
      <c r="A797" s="5"/>
      <c r="C797" s="7"/>
      <c r="D797" s="6"/>
    </row>
    <row r="798" spans="1:4">
      <c r="A798" s="5"/>
      <c r="C798" s="7"/>
      <c r="D798" s="6"/>
    </row>
    <row r="799" spans="1:4">
      <c r="A799" s="5"/>
      <c r="C799" s="7"/>
      <c r="D799" s="6"/>
    </row>
    <row r="800" spans="1:4">
      <c r="A800" s="5"/>
      <c r="C800" s="7"/>
      <c r="D800" s="6"/>
    </row>
    <row r="801" spans="1:4">
      <c r="A801" s="5"/>
      <c r="C801" s="7"/>
      <c r="D801" s="6"/>
    </row>
    <row r="802" spans="1:4">
      <c r="A802" s="5"/>
      <c r="C802" s="7"/>
      <c r="D802" s="6"/>
    </row>
    <row r="803" spans="1:4">
      <c r="A803" s="5"/>
      <c r="C803" s="7"/>
      <c r="D803" s="6"/>
    </row>
    <row r="804" spans="1:4">
      <c r="A804" s="5"/>
      <c r="C804" s="7"/>
      <c r="D804" s="6"/>
    </row>
    <row r="805" spans="1:4">
      <c r="A805" s="5"/>
      <c r="C805" s="7"/>
      <c r="D805" s="6"/>
    </row>
    <row r="806" spans="1:4">
      <c r="A806" s="5"/>
      <c r="C806" s="7"/>
      <c r="D806" s="6"/>
    </row>
    <row r="807" spans="1:4">
      <c r="A807" s="5"/>
      <c r="C807" s="7"/>
      <c r="D807" s="6"/>
    </row>
    <row r="808" spans="1:4">
      <c r="A808" s="5"/>
      <c r="C808" s="7"/>
      <c r="D808" s="6"/>
    </row>
    <row r="809" spans="1:4">
      <c r="A809" s="5"/>
      <c r="C809" s="7"/>
      <c r="D809" s="6"/>
    </row>
    <row r="810" spans="1:4">
      <c r="A810" s="5"/>
      <c r="C810" s="7"/>
      <c r="D810" s="6"/>
    </row>
    <row r="811" spans="1:4">
      <c r="A811" s="5"/>
      <c r="C811" s="7"/>
      <c r="D811" s="6"/>
    </row>
    <row r="812" spans="1:4">
      <c r="A812" s="5"/>
      <c r="C812" s="7"/>
      <c r="D812" s="6"/>
    </row>
    <row r="813" spans="1:4">
      <c r="A813" s="5"/>
      <c r="C813" s="7"/>
      <c r="D813" s="6"/>
    </row>
    <row r="814" spans="1:4">
      <c r="A814" s="5"/>
      <c r="C814" s="7"/>
      <c r="D814" s="6"/>
    </row>
    <row r="815" spans="1:4">
      <c r="A815" s="5"/>
      <c r="C815" s="7"/>
      <c r="D815" s="6"/>
    </row>
    <row r="816" spans="1:4">
      <c r="A816" s="5"/>
      <c r="C816" s="7"/>
      <c r="D816" s="6"/>
    </row>
    <row r="817" spans="1:4">
      <c r="A817" s="5"/>
      <c r="C817" s="7"/>
      <c r="D817" s="6"/>
    </row>
    <row r="818" spans="1:4">
      <c r="A818" s="5"/>
      <c r="C818" s="7"/>
      <c r="D818" s="6"/>
    </row>
    <row r="819" spans="1:4">
      <c r="A819" s="5"/>
      <c r="C819" s="7"/>
      <c r="D819" s="6"/>
    </row>
    <row r="820" spans="1:4">
      <c r="A820" s="5"/>
      <c r="C820" s="7"/>
      <c r="D820" s="6"/>
    </row>
    <row r="821" spans="1:4">
      <c r="A821" s="5"/>
      <c r="C821" s="7"/>
      <c r="D821" s="6"/>
    </row>
    <row r="822" spans="1:4">
      <c r="A822" s="5"/>
      <c r="C822" s="7"/>
      <c r="D822" s="6"/>
    </row>
    <row r="823" spans="1:4">
      <c r="A823" s="5"/>
      <c r="C823" s="7"/>
      <c r="D823" s="6"/>
    </row>
    <row r="824" spans="1:4">
      <c r="A824" s="5"/>
      <c r="C824" s="7"/>
      <c r="D824" s="6"/>
    </row>
    <row r="825" spans="1:4">
      <c r="A825" s="5"/>
      <c r="C825" s="7"/>
      <c r="D825" s="6"/>
    </row>
    <row r="826" spans="1:4">
      <c r="A826" s="5"/>
      <c r="C826" s="7"/>
      <c r="D826" s="6"/>
    </row>
    <row r="827" spans="1:4">
      <c r="A827" s="5"/>
      <c r="C827" s="7"/>
      <c r="D827" s="6"/>
    </row>
    <row r="828" spans="1:4">
      <c r="A828" s="5"/>
      <c r="C828" s="7"/>
      <c r="D828" s="6"/>
    </row>
    <row r="829" spans="1:4">
      <c r="A829" s="5"/>
      <c r="C829" s="7"/>
      <c r="D829" s="6"/>
    </row>
    <row r="830" spans="1:4">
      <c r="A830" s="5"/>
      <c r="C830" s="7"/>
      <c r="D830" s="6"/>
    </row>
    <row r="831" spans="1:4">
      <c r="A831" s="5"/>
      <c r="C831" s="7"/>
      <c r="D831" s="6"/>
    </row>
    <row r="832" spans="1:4">
      <c r="A832" s="5"/>
      <c r="C832" s="7"/>
      <c r="D832" s="6"/>
    </row>
    <row r="833" spans="1:4">
      <c r="A833" s="5"/>
      <c r="C833" s="7"/>
      <c r="D833" s="6"/>
    </row>
    <row r="834" spans="1:4">
      <c r="A834" s="5"/>
      <c r="C834" s="7"/>
      <c r="D834" s="6"/>
    </row>
    <row r="835" spans="1:4">
      <c r="A835" s="5"/>
      <c r="C835" s="7"/>
      <c r="D835" s="6"/>
    </row>
    <row r="836" spans="1:4">
      <c r="A836" s="5"/>
      <c r="C836" s="7"/>
      <c r="D836" s="6"/>
    </row>
    <row r="837" spans="1:4">
      <c r="A837" s="5"/>
      <c r="C837" s="7"/>
      <c r="D837" s="6"/>
    </row>
    <row r="838" spans="1:4">
      <c r="A838" s="5"/>
      <c r="C838" s="7"/>
      <c r="D838" s="6"/>
    </row>
    <row r="839" spans="1:4">
      <c r="A839" s="5"/>
      <c r="C839" s="7"/>
      <c r="D839" s="6"/>
    </row>
    <row r="840" spans="1:4">
      <c r="A840" s="5"/>
      <c r="C840" s="7"/>
      <c r="D840" s="6"/>
    </row>
    <row r="841" spans="1:4">
      <c r="A841" s="5"/>
      <c r="C841" s="7"/>
      <c r="D841" s="6"/>
    </row>
    <row r="842" spans="1:4">
      <c r="A842" s="5"/>
      <c r="C842" s="7"/>
      <c r="D842" s="6"/>
    </row>
    <row r="843" spans="1:4">
      <c r="A843" s="5"/>
      <c r="C843" s="7"/>
      <c r="D843" s="6"/>
    </row>
    <row r="844" spans="1:4">
      <c r="A844" s="5"/>
      <c r="C844" s="7"/>
      <c r="D844" s="6"/>
    </row>
    <row r="845" spans="1:4">
      <c r="A845" s="5"/>
      <c r="C845" s="7"/>
      <c r="D845" s="6"/>
    </row>
    <row r="846" spans="1:4">
      <c r="A846" s="5"/>
      <c r="C846" s="7"/>
      <c r="D846" s="6"/>
    </row>
    <row r="847" spans="1:4">
      <c r="A847" s="5"/>
      <c r="C847" s="7"/>
      <c r="D847" s="6"/>
    </row>
    <row r="848" spans="1:4">
      <c r="A848" s="5"/>
      <c r="C848" s="7"/>
      <c r="D848" s="6"/>
    </row>
    <row r="849" spans="1:4">
      <c r="A849" s="5"/>
      <c r="C849" s="7"/>
      <c r="D849" s="6"/>
    </row>
    <row r="850" spans="1:4">
      <c r="A850" s="5"/>
      <c r="C850" s="7"/>
      <c r="D850" s="6"/>
    </row>
    <row r="851" spans="1:4">
      <c r="A851" s="5"/>
      <c r="C851" s="7"/>
      <c r="D851" s="6"/>
    </row>
    <row r="852" spans="1:4">
      <c r="A852" s="5"/>
      <c r="C852" s="7"/>
      <c r="D852" s="6"/>
    </row>
    <row r="853" spans="1:4">
      <c r="A853" s="5"/>
      <c r="C853" s="7"/>
      <c r="D853" s="6"/>
    </row>
    <row r="854" spans="1:4">
      <c r="A854" s="5"/>
      <c r="C854" s="7"/>
      <c r="D854" s="6"/>
    </row>
    <row r="855" spans="1:4">
      <c r="A855" s="5"/>
      <c r="C855" s="7"/>
      <c r="D855" s="6"/>
    </row>
    <row r="856" spans="1:4">
      <c r="A856" s="5"/>
      <c r="C856" s="7"/>
      <c r="D856" s="6"/>
    </row>
    <row r="857" spans="1:4">
      <c r="A857" s="5"/>
      <c r="C857" s="7"/>
      <c r="D857" s="6"/>
    </row>
    <row r="858" spans="1:4">
      <c r="A858" s="5"/>
      <c r="C858" s="7"/>
      <c r="D858" s="6"/>
    </row>
    <row r="859" spans="1:4">
      <c r="A859" s="5"/>
      <c r="C859" s="7"/>
      <c r="D859" s="6"/>
    </row>
    <row r="860" spans="1:4">
      <c r="A860" s="5"/>
      <c r="C860" s="7"/>
      <c r="D860" s="6"/>
    </row>
    <row r="861" spans="1:4">
      <c r="A861" s="5"/>
      <c r="C861" s="7"/>
      <c r="D861" s="6"/>
    </row>
    <row r="862" spans="1:4">
      <c r="A862" s="5"/>
      <c r="C862" s="7"/>
      <c r="D862" s="6"/>
    </row>
    <row r="863" spans="1:4">
      <c r="A863" s="5"/>
      <c r="C863" s="7"/>
      <c r="D863" s="6"/>
    </row>
    <row r="864" spans="1:4">
      <c r="A864" s="5"/>
      <c r="C864" s="7"/>
      <c r="D864" s="6"/>
    </row>
    <row r="865" spans="1:4">
      <c r="A865" s="5"/>
      <c r="C865" s="7"/>
      <c r="D865" s="6"/>
    </row>
    <row r="866" spans="1:4">
      <c r="A866" s="5"/>
      <c r="C866" s="7"/>
      <c r="D866" s="6"/>
    </row>
    <row r="867" spans="1:4">
      <c r="A867" s="5"/>
      <c r="C867" s="7"/>
      <c r="D867" s="6"/>
    </row>
    <row r="868" spans="1:4">
      <c r="A868" s="5"/>
      <c r="C868" s="7"/>
      <c r="D868" s="6"/>
    </row>
    <row r="869" spans="1:4">
      <c r="A869" s="5"/>
      <c r="C869" s="7"/>
      <c r="D869" s="6"/>
    </row>
    <row r="870" spans="1:4">
      <c r="A870" s="5"/>
      <c r="C870" s="7"/>
      <c r="D870" s="6"/>
    </row>
    <row r="871" spans="1:4">
      <c r="A871" s="5"/>
      <c r="C871" s="7"/>
      <c r="D871" s="6"/>
    </row>
    <row r="872" spans="1:4">
      <c r="A872" s="5"/>
      <c r="C872" s="7"/>
      <c r="D872" s="6"/>
    </row>
    <row r="873" spans="1:4">
      <c r="A873" s="5"/>
      <c r="C873" s="7"/>
      <c r="D873" s="6"/>
    </row>
    <row r="874" spans="1:4">
      <c r="A874" s="5"/>
      <c r="C874" s="7"/>
      <c r="D874" s="6"/>
    </row>
    <row r="875" spans="1:4">
      <c r="A875" s="5"/>
      <c r="C875" s="7"/>
      <c r="D875" s="6"/>
    </row>
    <row r="876" spans="1:4">
      <c r="A876" s="5"/>
      <c r="C876" s="7"/>
      <c r="D876" s="6"/>
    </row>
    <row r="877" spans="1:4">
      <c r="A877" s="5"/>
      <c r="C877" s="7"/>
      <c r="D877" s="6"/>
    </row>
    <row r="878" spans="1:4">
      <c r="A878" s="5"/>
      <c r="C878" s="7"/>
      <c r="D878" s="6"/>
    </row>
    <row r="879" spans="1:4">
      <c r="A879" s="5"/>
      <c r="C879" s="7"/>
      <c r="D879" s="6"/>
    </row>
    <row r="880" spans="1:4">
      <c r="A880" s="5"/>
      <c r="C880" s="7"/>
      <c r="D880" s="6"/>
    </row>
    <row r="881" spans="1:4">
      <c r="A881" s="5"/>
      <c r="C881" s="7"/>
      <c r="D881" s="6"/>
    </row>
    <row r="882" spans="1:4">
      <c r="A882" s="5"/>
      <c r="C882" s="7"/>
      <c r="D882" s="6"/>
    </row>
    <row r="883" spans="1:4">
      <c r="A883" s="5"/>
      <c r="C883" s="7"/>
      <c r="D883" s="6"/>
    </row>
    <row r="884" spans="1:4">
      <c r="A884" s="5"/>
      <c r="C884" s="7"/>
      <c r="D884" s="6"/>
    </row>
    <row r="885" spans="1:4">
      <c r="A885" s="5"/>
      <c r="C885" s="7"/>
      <c r="D885" s="6"/>
    </row>
    <row r="886" spans="1:4">
      <c r="A886" s="5"/>
      <c r="C886" s="7"/>
      <c r="D886" s="6"/>
    </row>
    <row r="887" spans="1:4">
      <c r="A887" s="5"/>
      <c r="C887" s="7"/>
      <c r="D887" s="6"/>
    </row>
    <row r="888" spans="1:4">
      <c r="A888" s="5"/>
      <c r="C888" s="7"/>
      <c r="D888" s="6"/>
    </row>
    <row r="889" spans="1:4">
      <c r="A889" s="5"/>
      <c r="C889" s="7"/>
      <c r="D889" s="6"/>
    </row>
    <row r="890" spans="1:4">
      <c r="A890" s="5"/>
      <c r="C890" s="7"/>
      <c r="D890" s="6"/>
    </row>
    <row r="891" spans="1:4">
      <c r="A891" s="5"/>
      <c r="C891" s="7"/>
      <c r="D891" s="6"/>
    </row>
    <row r="892" spans="1:4">
      <c r="A892" s="5"/>
      <c r="C892" s="7"/>
      <c r="D892" s="6"/>
    </row>
    <row r="893" spans="1:4">
      <c r="A893" s="5"/>
      <c r="C893" s="7"/>
      <c r="D893" s="6"/>
    </row>
    <row r="894" spans="1:4">
      <c r="A894" s="5"/>
      <c r="C894" s="7"/>
      <c r="D894" s="6"/>
    </row>
    <row r="895" spans="1:4">
      <c r="A895" s="5"/>
      <c r="C895" s="7"/>
      <c r="D895" s="6"/>
    </row>
    <row r="896" spans="1:4">
      <c r="A896" s="5"/>
      <c r="C896" s="7"/>
      <c r="D896" s="6"/>
    </row>
    <row r="897" spans="1:4">
      <c r="A897" s="5"/>
      <c r="C897" s="7"/>
      <c r="D897" s="6"/>
    </row>
    <row r="898" spans="1:4">
      <c r="A898" s="5"/>
      <c r="C898" s="7"/>
      <c r="D898" s="6"/>
    </row>
    <row r="899" spans="1:4">
      <c r="A899" s="5"/>
      <c r="C899" s="7"/>
      <c r="D899" s="6"/>
    </row>
    <row r="900" spans="1:4">
      <c r="A900" s="5"/>
      <c r="C900" s="7"/>
      <c r="D900" s="6"/>
    </row>
    <row r="901" spans="1:4">
      <c r="A901" s="5"/>
      <c r="C901" s="7"/>
      <c r="D901" s="6"/>
    </row>
    <row r="902" spans="1:4">
      <c r="A902" s="5"/>
      <c r="C902" s="7"/>
      <c r="D902" s="6"/>
    </row>
    <row r="903" spans="1:4">
      <c r="A903" s="5"/>
      <c r="C903" s="7"/>
      <c r="D903" s="6"/>
    </row>
    <row r="904" spans="1:4">
      <c r="A904" s="5"/>
      <c r="C904" s="7"/>
      <c r="D904" s="6"/>
    </row>
    <row r="905" spans="1:4">
      <c r="A905" s="5"/>
      <c r="C905" s="7"/>
      <c r="D905" s="6"/>
    </row>
    <row r="906" spans="1:4">
      <c r="A906" s="5"/>
      <c r="C906" s="7"/>
      <c r="D906" s="6"/>
    </row>
    <row r="907" spans="1:4">
      <c r="A907" s="5"/>
      <c r="C907" s="7"/>
      <c r="D907" s="6"/>
    </row>
    <row r="908" spans="1:4">
      <c r="A908" s="5"/>
      <c r="C908" s="7"/>
      <c r="D908" s="6"/>
    </row>
    <row r="909" spans="1:4">
      <c r="A909" s="5"/>
      <c r="C909" s="7"/>
      <c r="D909" s="6"/>
    </row>
    <row r="910" spans="1:4">
      <c r="A910" s="5"/>
      <c r="C910" s="7"/>
      <c r="D910" s="6"/>
    </row>
    <row r="911" spans="1:4">
      <c r="A911" s="5"/>
      <c r="C911" s="7"/>
      <c r="D911" s="6"/>
    </row>
    <row r="912" spans="1:4">
      <c r="A912" s="5"/>
      <c r="C912" s="7"/>
      <c r="D912" s="6"/>
    </row>
    <row r="913" spans="1:4">
      <c r="A913" s="5"/>
      <c r="C913" s="7"/>
      <c r="D913" s="6"/>
    </row>
    <row r="914" spans="1:4">
      <c r="A914" s="5"/>
      <c r="C914" s="7"/>
      <c r="D914" s="6"/>
    </row>
    <row r="915" spans="1:4">
      <c r="A915" s="5"/>
      <c r="C915" s="7"/>
      <c r="D915" s="6"/>
    </row>
    <row r="916" spans="1:4">
      <c r="A916" s="5"/>
      <c r="C916" s="7"/>
      <c r="D916" s="6"/>
    </row>
    <row r="917" spans="1:4">
      <c r="A917" s="5"/>
      <c r="C917" s="7"/>
      <c r="D917" s="6"/>
    </row>
    <row r="918" spans="1:4">
      <c r="A918" s="5"/>
      <c r="C918" s="7"/>
      <c r="D918" s="6"/>
    </row>
    <row r="919" spans="1:4">
      <c r="A919" s="5"/>
      <c r="C919" s="7"/>
      <c r="D919" s="6"/>
    </row>
    <row r="920" spans="1:4">
      <c r="A920" s="5"/>
      <c r="C920" s="7"/>
      <c r="D920" s="6"/>
    </row>
    <row r="921" spans="1:4">
      <c r="A921" s="5"/>
      <c r="C921" s="7"/>
      <c r="D921" s="6"/>
    </row>
    <row r="922" spans="1:4">
      <c r="A922" s="5"/>
      <c r="C922" s="7"/>
      <c r="D922" s="6"/>
    </row>
    <row r="923" spans="1:4">
      <c r="A923" s="5"/>
      <c r="C923" s="7"/>
      <c r="D923" s="6"/>
    </row>
    <row r="924" spans="1:4">
      <c r="A924" s="5"/>
      <c r="C924" s="7"/>
      <c r="D924" s="6"/>
    </row>
    <row r="925" spans="1:4">
      <c r="A925" s="5"/>
      <c r="C925" s="7"/>
      <c r="D925" s="6"/>
    </row>
    <row r="926" spans="1:4">
      <c r="A926" s="5"/>
      <c r="C926" s="7"/>
      <c r="D926" s="6"/>
    </row>
    <row r="927" spans="1:4">
      <c r="A927" s="5"/>
      <c r="C927" s="7"/>
      <c r="D927" s="6"/>
    </row>
    <row r="928" spans="1:4">
      <c r="A928" s="5"/>
      <c r="C928" s="7"/>
      <c r="D928" s="6"/>
    </row>
    <row r="929" spans="1:5">
      <c r="A929" s="5"/>
      <c r="C929" s="7"/>
      <c r="D929" s="6"/>
    </row>
    <row r="930" spans="1:5">
      <c r="A930" s="5"/>
      <c r="C930" s="7"/>
      <c r="D930" s="6"/>
    </row>
    <row r="931" spans="1:5">
      <c r="A931" s="5"/>
      <c r="C931" s="7"/>
      <c r="D931" s="6"/>
      <c r="E931" s="99"/>
    </row>
    <row r="932" spans="1:5">
      <c r="A932" s="5"/>
      <c r="C932" s="7"/>
      <c r="D932" s="6"/>
      <c r="E932" s="99"/>
    </row>
    <row r="933" spans="1:5">
      <c r="A933" s="5"/>
      <c r="C933" s="7"/>
      <c r="D933" s="6"/>
      <c r="E933" s="99"/>
    </row>
    <row r="934" spans="1:5">
      <c r="A934" s="5"/>
      <c r="C934" s="7"/>
      <c r="D934" s="6"/>
      <c r="E934" s="99"/>
    </row>
    <row r="935" spans="1:5">
      <c r="A935" s="5"/>
      <c r="C935" s="7"/>
      <c r="D935" s="6"/>
      <c r="E935" s="99"/>
    </row>
    <row r="936" spans="1:5">
      <c r="A936" s="5"/>
      <c r="C936" s="7"/>
      <c r="D936" s="6"/>
      <c r="E936" s="99"/>
    </row>
    <row r="937" spans="1:5">
      <c r="A937" s="5"/>
      <c r="C937" s="7"/>
      <c r="D937" s="6"/>
      <c r="E937" s="99"/>
    </row>
    <row r="938" spans="1:5">
      <c r="A938" s="5"/>
      <c r="C938" s="7"/>
      <c r="D938" s="6"/>
      <c r="E938" s="99"/>
    </row>
    <row r="939" spans="1:5">
      <c r="A939" s="5"/>
      <c r="C939" s="7"/>
      <c r="D939" s="6"/>
      <c r="E939" s="99"/>
    </row>
    <row r="940" spans="1:5">
      <c r="A940" s="5"/>
      <c r="C940" s="7"/>
      <c r="D940" s="6"/>
      <c r="E940" s="99"/>
    </row>
    <row r="941" spans="1:5">
      <c r="A941" s="5"/>
      <c r="C941" s="7"/>
      <c r="D941" s="6"/>
      <c r="E941" s="99"/>
    </row>
    <row r="942" spans="1:5">
      <c r="A942" s="5"/>
      <c r="C942" s="7"/>
      <c r="D942" s="6"/>
      <c r="E942" s="99"/>
    </row>
    <row r="943" spans="1:5">
      <c r="A943" s="5"/>
      <c r="C943" s="7"/>
      <c r="D943" s="6"/>
      <c r="E943" s="99"/>
    </row>
    <row r="944" spans="1:5">
      <c r="A944" s="5"/>
      <c r="C944" s="7"/>
      <c r="D944" s="6"/>
      <c r="E944" s="99"/>
    </row>
    <row r="945" spans="1:5">
      <c r="A945" s="5"/>
      <c r="C945" s="7"/>
      <c r="D945" s="6"/>
      <c r="E945" s="99"/>
    </row>
    <row r="946" spans="1:5">
      <c r="A946" s="5"/>
      <c r="C946" s="7"/>
      <c r="D946" s="6"/>
      <c r="E946" s="99"/>
    </row>
    <row r="947" spans="1:5">
      <c r="A947" s="5"/>
      <c r="C947" s="7"/>
      <c r="D947" s="6"/>
      <c r="E947" s="99"/>
    </row>
    <row r="948" spans="1:5">
      <c r="A948" s="5"/>
      <c r="C948" s="7"/>
      <c r="D948" s="6"/>
      <c r="E948" s="99"/>
    </row>
    <row r="949" spans="1:5">
      <c r="A949" s="5"/>
      <c r="C949" s="7"/>
      <c r="D949" s="6"/>
      <c r="E949" s="99"/>
    </row>
    <row r="950" spans="1:5">
      <c r="A950" s="5"/>
      <c r="C950" s="7"/>
      <c r="D950" s="6"/>
      <c r="E950" s="99"/>
    </row>
    <row r="951" spans="1:5">
      <c r="A951" s="5"/>
      <c r="C951" s="7"/>
      <c r="D951" s="6"/>
      <c r="E951" s="99"/>
    </row>
    <row r="952" spans="1:5">
      <c r="A952" s="5"/>
      <c r="C952" s="7"/>
      <c r="D952" s="6"/>
      <c r="E952" s="99"/>
    </row>
    <row r="953" spans="1:5">
      <c r="A953" s="5"/>
      <c r="C953" s="7"/>
      <c r="D953" s="6"/>
      <c r="E953" s="99"/>
    </row>
    <row r="954" spans="1:5">
      <c r="A954" s="5"/>
      <c r="C954" s="7"/>
      <c r="D954" s="6"/>
      <c r="E954" s="99"/>
    </row>
    <row r="955" spans="1:5">
      <c r="A955" s="5"/>
      <c r="C955" s="7"/>
      <c r="D955" s="6"/>
      <c r="E955" s="99"/>
    </row>
    <row r="956" spans="1:5">
      <c r="A956" s="5"/>
      <c r="C956" s="7"/>
      <c r="D956" s="6"/>
      <c r="E956" s="99"/>
    </row>
    <row r="957" spans="1:5">
      <c r="A957" s="5"/>
      <c r="C957" s="7"/>
      <c r="D957" s="6"/>
      <c r="E957" s="99"/>
    </row>
    <row r="958" spans="1:5">
      <c r="A958" s="5"/>
      <c r="C958" s="7"/>
      <c r="D958" s="6"/>
      <c r="E958" s="99"/>
    </row>
    <row r="959" spans="1:5">
      <c r="A959" s="5"/>
      <c r="C959" s="7"/>
      <c r="D959" s="6"/>
      <c r="E959" s="99"/>
    </row>
    <row r="960" spans="1:5">
      <c r="A960" s="5"/>
      <c r="C960" s="7"/>
      <c r="D960" s="6"/>
      <c r="E960" s="99"/>
    </row>
    <row r="961" spans="1:5">
      <c r="A961" s="5"/>
      <c r="C961" s="7"/>
      <c r="D961" s="6"/>
      <c r="E961" s="99"/>
    </row>
    <row r="962" spans="1:5">
      <c r="A962" s="5"/>
      <c r="C962" s="7"/>
      <c r="D962" s="6"/>
      <c r="E962" s="99"/>
    </row>
    <row r="963" spans="1:5">
      <c r="A963" s="5"/>
      <c r="C963" s="7"/>
      <c r="D963" s="6"/>
      <c r="E963" s="99"/>
    </row>
    <row r="964" spans="1:5">
      <c r="A964" s="5"/>
      <c r="C964" s="7"/>
      <c r="D964" s="6"/>
      <c r="E964" s="99"/>
    </row>
    <row r="965" spans="1:5">
      <c r="A965" s="5"/>
      <c r="C965" s="7"/>
      <c r="D965" s="6"/>
      <c r="E965" s="99"/>
    </row>
    <row r="966" spans="1:5">
      <c r="A966" s="5"/>
      <c r="C966" s="7"/>
      <c r="D966" s="6"/>
      <c r="E966" s="99"/>
    </row>
    <row r="967" spans="1:5">
      <c r="A967" s="5"/>
      <c r="C967" s="7"/>
      <c r="D967" s="6"/>
      <c r="E967" s="99"/>
    </row>
    <row r="968" spans="1:5">
      <c r="A968" s="5"/>
      <c r="C968" s="7"/>
      <c r="D968" s="6"/>
      <c r="E968" s="99"/>
    </row>
    <row r="969" spans="1:5">
      <c r="A969" s="5"/>
      <c r="C969" s="7"/>
      <c r="D969" s="6"/>
      <c r="E969" s="99"/>
    </row>
    <row r="970" spans="1:5">
      <c r="A970" s="5"/>
      <c r="C970" s="7"/>
      <c r="D970" s="6"/>
      <c r="E970" s="99"/>
    </row>
    <row r="971" spans="1:5">
      <c r="A971" s="5"/>
      <c r="C971" s="7"/>
      <c r="D971" s="6"/>
      <c r="E971" s="99"/>
    </row>
    <row r="972" spans="1:5">
      <c r="A972" s="5"/>
      <c r="C972" s="7"/>
      <c r="D972" s="6"/>
      <c r="E972" s="99"/>
    </row>
    <row r="973" spans="1:5">
      <c r="A973" s="5"/>
      <c r="C973" s="7"/>
      <c r="D973" s="6"/>
      <c r="E973" s="99"/>
    </row>
    <row r="974" spans="1:5">
      <c r="A974" s="5"/>
      <c r="C974" s="7"/>
      <c r="D974" s="6"/>
      <c r="E974" s="99"/>
    </row>
    <row r="975" spans="1:5">
      <c r="A975" s="5"/>
      <c r="C975" s="7"/>
      <c r="D975" s="6"/>
      <c r="E975" s="99"/>
    </row>
    <row r="976" spans="1:5">
      <c r="A976" s="5"/>
      <c r="C976" s="7"/>
      <c r="D976" s="6"/>
      <c r="E976" s="99"/>
    </row>
    <row r="977" spans="1:5">
      <c r="A977" s="5"/>
      <c r="C977" s="7"/>
      <c r="D977" s="6"/>
      <c r="E977" s="99"/>
    </row>
    <row r="978" spans="1:5">
      <c r="A978" s="5"/>
      <c r="C978" s="7"/>
      <c r="D978" s="6"/>
      <c r="E978" s="99"/>
    </row>
    <row r="979" spans="1:5">
      <c r="A979" s="5"/>
      <c r="C979" s="7"/>
      <c r="D979" s="6"/>
      <c r="E979" s="99"/>
    </row>
    <row r="980" spans="1:5">
      <c r="A980" s="5"/>
      <c r="C980" s="7"/>
      <c r="D980" s="6"/>
      <c r="E980" s="99"/>
    </row>
    <row r="981" spans="1:5">
      <c r="A981" s="5"/>
      <c r="C981" s="7"/>
      <c r="D981" s="6"/>
      <c r="E981" s="99"/>
    </row>
    <row r="982" spans="1:5">
      <c r="A982" s="5"/>
      <c r="C982" s="7"/>
      <c r="D982" s="6"/>
      <c r="E982" s="99"/>
    </row>
    <row r="983" spans="1:5">
      <c r="A983" s="5"/>
      <c r="C983" s="7"/>
      <c r="D983" s="6"/>
      <c r="E983" s="99"/>
    </row>
    <row r="984" spans="1:5">
      <c r="A984" s="5"/>
      <c r="C984" s="7"/>
      <c r="D984" s="6"/>
      <c r="E984" s="99"/>
    </row>
    <row r="985" spans="1:5">
      <c r="A985" s="5"/>
      <c r="C985" s="7"/>
      <c r="D985" s="6"/>
      <c r="E985" s="99"/>
    </row>
  </sheetData>
  <autoFilter ref="A5:K218" xr:uid="{A708550D-C6CB-418B-B016-B6987AF51C1B}"/>
  <mergeCells count="2">
    <mergeCell ref="A1:K1"/>
    <mergeCell ref="A2:K2"/>
  </mergeCells>
  <pageMargins left="0.11811023622047245" right="0.11811023622047245" top="0.11811023622047245" bottom="0.11811023622047245" header="0.11811023622047245" footer="0.11811023622047245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68EE-B310-4CD0-9046-B1034780180F}">
  <dimension ref="A1:K86"/>
  <sheetViews>
    <sheetView view="pageBreakPreview" zoomScale="90" zoomScaleNormal="100" zoomScaleSheetLayoutView="90" workbookViewId="0">
      <selection activeCell="F78" sqref="F78"/>
    </sheetView>
  </sheetViews>
  <sheetFormatPr defaultRowHeight="14.4"/>
  <cols>
    <col min="1" max="1" width="6" style="5" customWidth="1"/>
    <col min="2" max="2" width="44.33203125" customWidth="1"/>
    <col min="3" max="3" width="9" style="7" customWidth="1"/>
    <col min="4" max="4" width="11" style="6" customWidth="1"/>
    <col min="5" max="5" width="12.44140625" style="99" bestFit="1" customWidth="1"/>
    <col min="6" max="6" width="14.44140625" bestFit="1" customWidth="1"/>
    <col min="7" max="7" width="17.88671875" bestFit="1" customWidth="1"/>
    <col min="8" max="8" width="13.5546875" bestFit="1" customWidth="1"/>
    <col min="9" max="9" width="10.88671875" bestFit="1" customWidth="1"/>
    <col min="10" max="10" width="14.44140625" bestFit="1" customWidth="1"/>
    <col min="11" max="11" width="15.44140625" bestFit="1" customWidth="1"/>
  </cols>
  <sheetData>
    <row r="1" spans="1:11" s="1" customFormat="1" ht="15.75" customHeight="1">
      <c r="A1" s="187" t="str">
        <f>კრებსითი!A1</f>
        <v>ნატახტარი ახალი სასაწყობე შენობა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7.25" customHeight="1">
      <c r="A2" s="187" t="s">
        <v>103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1" customFormat="1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1" customFormat="1" ht="17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88" customFormat="1" ht="14.1" customHeight="1">
      <c r="A5" s="214" t="s">
        <v>0</v>
      </c>
      <c r="B5" s="130"/>
      <c r="C5" s="224" t="s">
        <v>104</v>
      </c>
      <c r="D5" s="227"/>
      <c r="E5" s="229" t="s">
        <v>105</v>
      </c>
      <c r="F5" s="230"/>
      <c r="G5" s="229" t="s">
        <v>106</v>
      </c>
      <c r="H5" s="230"/>
      <c r="I5" s="233" t="s">
        <v>107</v>
      </c>
      <c r="J5" s="234"/>
      <c r="K5" s="218" t="s">
        <v>108</v>
      </c>
    </row>
    <row r="6" spans="1:11" s="88" customFormat="1" ht="17.399999999999999">
      <c r="A6" s="223"/>
      <c r="B6" s="131" t="s">
        <v>109</v>
      </c>
      <c r="C6" s="225"/>
      <c r="D6" s="228"/>
      <c r="E6" s="231"/>
      <c r="F6" s="232"/>
      <c r="G6" s="231"/>
      <c r="H6" s="232"/>
      <c r="I6" s="235"/>
      <c r="J6" s="236"/>
      <c r="K6" s="219"/>
    </row>
    <row r="7" spans="1:11" s="88" customFormat="1" ht="14.1" customHeight="1">
      <c r="A7" s="223"/>
      <c r="B7" s="132"/>
      <c r="C7" s="225"/>
      <c r="D7" s="221" t="s">
        <v>110</v>
      </c>
      <c r="E7" s="133" t="s">
        <v>111</v>
      </c>
      <c r="F7" s="218" t="s">
        <v>110</v>
      </c>
      <c r="G7" s="133" t="s">
        <v>111</v>
      </c>
      <c r="H7" s="218" t="s">
        <v>110</v>
      </c>
      <c r="I7" s="133" t="s">
        <v>111</v>
      </c>
      <c r="J7" s="218" t="s">
        <v>110</v>
      </c>
      <c r="K7" s="219"/>
    </row>
    <row r="8" spans="1:11" s="88" customFormat="1" ht="14.1" customHeight="1">
      <c r="A8" s="215"/>
      <c r="B8" s="134"/>
      <c r="C8" s="226"/>
      <c r="D8" s="222"/>
      <c r="E8" s="135" t="s">
        <v>112</v>
      </c>
      <c r="F8" s="220"/>
      <c r="G8" s="135" t="s">
        <v>112</v>
      </c>
      <c r="H8" s="220"/>
      <c r="I8" s="135" t="s">
        <v>112</v>
      </c>
      <c r="J8" s="220"/>
      <c r="K8" s="220"/>
    </row>
    <row r="9" spans="1:11" s="2" customFormat="1">
      <c r="A9" s="11">
        <v>1</v>
      </c>
      <c r="B9" s="12">
        <v>2</v>
      </c>
      <c r="C9" s="13">
        <v>3</v>
      </c>
      <c r="D9" s="12">
        <v>4</v>
      </c>
      <c r="E9" s="136">
        <v>5</v>
      </c>
      <c r="F9" s="136">
        <v>6</v>
      </c>
      <c r="G9" s="136">
        <v>7</v>
      </c>
      <c r="H9" s="136">
        <v>8</v>
      </c>
      <c r="I9" s="136">
        <v>9</v>
      </c>
      <c r="J9" s="136">
        <v>10</v>
      </c>
      <c r="K9" s="136">
        <v>11</v>
      </c>
    </row>
    <row r="10" spans="1:11" s="2" customFormat="1" ht="13.8">
      <c r="A10" s="22"/>
      <c r="B10" s="22" t="s">
        <v>113</v>
      </c>
      <c r="C10" s="23"/>
      <c r="D10" s="115"/>
      <c r="E10" s="116"/>
      <c r="F10" s="116"/>
      <c r="G10" s="116"/>
      <c r="H10" s="117"/>
      <c r="I10" s="116"/>
      <c r="J10" s="116"/>
      <c r="K10" s="117"/>
    </row>
    <row r="11" spans="1:11" s="2" customFormat="1" ht="13.8">
      <c r="A11" s="22">
        <v>1</v>
      </c>
      <c r="B11" s="140" t="s">
        <v>133</v>
      </c>
      <c r="C11" s="22" t="s">
        <v>3</v>
      </c>
      <c r="D11" s="24">
        <v>1730.5</v>
      </c>
      <c r="E11" s="141"/>
      <c r="F11" s="142"/>
      <c r="G11" s="143"/>
      <c r="H11" s="144"/>
      <c r="I11" s="141"/>
      <c r="J11" s="142"/>
      <c r="K11" s="145"/>
    </row>
    <row r="12" spans="1:11" s="109" customFormat="1" ht="13.8">
      <c r="A12" s="146"/>
      <c r="B12" s="147" t="s">
        <v>11</v>
      </c>
      <c r="C12" s="148" t="str">
        <f>C11</f>
        <v>მ²</v>
      </c>
      <c r="D12" s="149">
        <f>D11</f>
        <v>1730.5</v>
      </c>
      <c r="E12" s="150"/>
      <c r="F12" s="150"/>
      <c r="G12" s="150"/>
      <c r="H12" s="150"/>
      <c r="I12" s="150"/>
      <c r="J12" s="150"/>
      <c r="K12" s="145"/>
    </row>
    <row r="13" spans="1:11" s="3" customFormat="1" ht="13.8">
      <c r="A13" s="146"/>
      <c r="B13" s="151" t="s">
        <v>30</v>
      </c>
      <c r="C13" s="148" t="str">
        <f>C12</f>
        <v>მ²</v>
      </c>
      <c r="D13" s="149">
        <f>D11</f>
        <v>1730.5</v>
      </c>
      <c r="E13" s="150"/>
      <c r="F13" s="150"/>
      <c r="G13" s="150"/>
      <c r="H13" s="150"/>
      <c r="I13" s="150"/>
      <c r="J13" s="150"/>
      <c r="K13" s="145"/>
    </row>
    <row r="14" spans="1:11" s="137" customFormat="1" ht="13.8">
      <c r="A14" s="146"/>
      <c r="B14" s="151" t="s">
        <v>12</v>
      </c>
      <c r="C14" s="148"/>
      <c r="D14" s="149"/>
      <c r="E14" s="150"/>
      <c r="F14" s="150"/>
      <c r="G14" s="150"/>
      <c r="H14" s="150"/>
      <c r="I14" s="150"/>
      <c r="J14" s="150"/>
      <c r="K14" s="145"/>
    </row>
    <row r="15" spans="1:11" s="138" customFormat="1" ht="15">
      <c r="A15" s="146"/>
      <c r="B15" s="151" t="s">
        <v>134</v>
      </c>
      <c r="C15" s="148" t="s">
        <v>114</v>
      </c>
      <c r="D15" s="149">
        <f>D11*1.02</f>
        <v>1765.1100000000001</v>
      </c>
      <c r="E15" s="150"/>
      <c r="F15" s="150"/>
      <c r="G15" s="150"/>
      <c r="H15" s="150"/>
      <c r="I15" s="150"/>
      <c r="J15" s="150"/>
      <c r="K15" s="145"/>
    </row>
    <row r="16" spans="1:11" s="138" customFormat="1" ht="13.8">
      <c r="A16" s="146"/>
      <c r="B16" s="151" t="s">
        <v>115</v>
      </c>
      <c r="C16" s="148" t="s">
        <v>116</v>
      </c>
      <c r="D16" s="149">
        <f>D11*0.6</f>
        <v>1038.3</v>
      </c>
      <c r="E16" s="150"/>
      <c r="F16" s="150"/>
      <c r="G16" s="150"/>
      <c r="H16" s="150"/>
      <c r="I16" s="150"/>
      <c r="J16" s="150"/>
      <c r="K16" s="145"/>
    </row>
    <row r="17" spans="1:11" s="138" customFormat="1" ht="13.8">
      <c r="A17" s="146"/>
      <c r="B17" s="151" t="s">
        <v>117</v>
      </c>
      <c r="C17" s="148" t="s">
        <v>118</v>
      </c>
      <c r="D17" s="149">
        <f>D11*4</f>
        <v>6922</v>
      </c>
      <c r="E17" s="150"/>
      <c r="F17" s="150"/>
      <c r="G17" s="150"/>
      <c r="H17" s="150"/>
      <c r="I17" s="150"/>
      <c r="J17" s="150"/>
      <c r="K17" s="145"/>
    </row>
    <row r="18" spans="1:11" s="4" customFormat="1" ht="13.8">
      <c r="A18" s="146"/>
      <c r="B18" s="151" t="s">
        <v>119</v>
      </c>
      <c r="C18" s="148" t="s">
        <v>118</v>
      </c>
      <c r="D18" s="149">
        <f>D11*0.06</f>
        <v>103.83</v>
      </c>
      <c r="E18" s="150"/>
      <c r="F18" s="150"/>
      <c r="G18" s="150"/>
      <c r="H18" s="150"/>
      <c r="I18" s="150"/>
      <c r="J18" s="150"/>
      <c r="K18" s="145"/>
    </row>
    <row r="19" spans="1:11" s="138" customFormat="1" ht="13.8">
      <c r="A19" s="146"/>
      <c r="B19" s="151" t="s">
        <v>14</v>
      </c>
      <c r="C19" s="148" t="s">
        <v>5</v>
      </c>
      <c r="D19" s="149">
        <f>D11*0.2</f>
        <v>346.1</v>
      </c>
      <c r="E19" s="150"/>
      <c r="F19" s="150"/>
      <c r="G19" s="150"/>
      <c r="H19" s="150"/>
      <c r="I19" s="150"/>
      <c r="J19" s="150"/>
      <c r="K19" s="145"/>
    </row>
    <row r="20" spans="1:11" s="138" customFormat="1" ht="13.8">
      <c r="A20" s="22">
        <f>A11+1</f>
        <v>2</v>
      </c>
      <c r="B20" s="140" t="s">
        <v>132</v>
      </c>
      <c r="C20" s="22" t="s">
        <v>3</v>
      </c>
      <c r="D20" s="152">
        <f>1258.25+125</f>
        <v>1383.25</v>
      </c>
      <c r="E20" s="141"/>
      <c r="F20" s="142"/>
      <c r="G20" s="143"/>
      <c r="H20" s="144"/>
      <c r="I20" s="141"/>
      <c r="J20" s="142"/>
      <c r="K20" s="145"/>
    </row>
    <row r="21" spans="1:11" s="138" customFormat="1" ht="13.8">
      <c r="A21" s="146"/>
      <c r="B21" s="147" t="s">
        <v>11</v>
      </c>
      <c r="C21" s="148" t="str">
        <f>C20</f>
        <v>მ²</v>
      </c>
      <c r="D21" s="149">
        <f>D20</f>
        <v>1383.25</v>
      </c>
      <c r="E21" s="150"/>
      <c r="F21" s="150"/>
      <c r="G21" s="150"/>
      <c r="H21" s="150"/>
      <c r="I21" s="150"/>
      <c r="J21" s="150"/>
      <c r="K21" s="145"/>
    </row>
    <row r="22" spans="1:11" s="138" customFormat="1" ht="13.8">
      <c r="A22" s="146"/>
      <c r="B22" s="151" t="s">
        <v>30</v>
      </c>
      <c r="C22" s="148" t="str">
        <f>C21</f>
        <v>მ²</v>
      </c>
      <c r="D22" s="149">
        <f>D20</f>
        <v>1383.25</v>
      </c>
      <c r="E22" s="150"/>
      <c r="F22" s="150"/>
      <c r="G22" s="150"/>
      <c r="H22" s="150"/>
      <c r="I22" s="150"/>
      <c r="J22" s="150"/>
      <c r="K22" s="145"/>
    </row>
    <row r="23" spans="1:11" s="138" customFormat="1" ht="13.8">
      <c r="A23" s="146"/>
      <c r="B23" s="151" t="s">
        <v>12</v>
      </c>
      <c r="C23" s="148"/>
      <c r="D23" s="149"/>
      <c r="E23" s="150"/>
      <c r="F23" s="150"/>
      <c r="G23" s="150"/>
      <c r="H23" s="150"/>
      <c r="I23" s="150"/>
      <c r="J23" s="150"/>
      <c r="K23" s="145"/>
    </row>
    <row r="24" spans="1:11" s="138" customFormat="1" ht="15">
      <c r="A24" s="146"/>
      <c r="B24" s="151" t="s">
        <v>135</v>
      </c>
      <c r="C24" s="148" t="s">
        <v>114</v>
      </c>
      <c r="D24" s="149">
        <f>D20*1.02</f>
        <v>1410.915</v>
      </c>
      <c r="E24" s="150"/>
      <c r="F24" s="150"/>
      <c r="G24" s="150"/>
      <c r="H24" s="150"/>
      <c r="I24" s="150"/>
      <c r="J24" s="150"/>
      <c r="K24" s="145"/>
    </row>
    <row r="25" spans="1:11" s="138" customFormat="1" ht="13.8">
      <c r="A25" s="146"/>
      <c r="B25" s="151" t="s">
        <v>115</v>
      </c>
      <c r="C25" s="148" t="s">
        <v>116</v>
      </c>
      <c r="D25" s="149">
        <f>D20*0.6</f>
        <v>829.94999999999993</v>
      </c>
      <c r="E25" s="150"/>
      <c r="F25" s="150"/>
      <c r="G25" s="150"/>
      <c r="H25" s="150"/>
      <c r="I25" s="150"/>
      <c r="J25" s="150"/>
      <c r="K25" s="145"/>
    </row>
    <row r="26" spans="1:11" s="138" customFormat="1" ht="13.8">
      <c r="A26" s="146"/>
      <c r="B26" s="151" t="s">
        <v>117</v>
      </c>
      <c r="C26" s="148" t="s">
        <v>118</v>
      </c>
      <c r="D26" s="149">
        <f>D20*4</f>
        <v>5533</v>
      </c>
      <c r="E26" s="150"/>
      <c r="F26" s="150"/>
      <c r="G26" s="150"/>
      <c r="H26" s="150"/>
      <c r="I26" s="150"/>
      <c r="J26" s="150"/>
      <c r="K26" s="145"/>
    </row>
    <row r="27" spans="1:11" s="138" customFormat="1" ht="13.8">
      <c r="A27" s="146"/>
      <c r="B27" s="151" t="s">
        <v>119</v>
      </c>
      <c r="C27" s="148" t="s">
        <v>118</v>
      </c>
      <c r="D27" s="149">
        <f>D20*0.06</f>
        <v>82.99499999999999</v>
      </c>
      <c r="E27" s="150"/>
      <c r="F27" s="150"/>
      <c r="G27" s="150"/>
      <c r="H27" s="150"/>
      <c r="I27" s="150"/>
      <c r="J27" s="150"/>
      <c r="K27" s="145"/>
    </row>
    <row r="28" spans="1:11" s="138" customFormat="1" ht="13.8">
      <c r="A28" s="146"/>
      <c r="B28" s="151" t="s">
        <v>14</v>
      </c>
      <c r="C28" s="148" t="s">
        <v>5</v>
      </c>
      <c r="D28" s="149">
        <f>D20*0.2</f>
        <v>276.65000000000003</v>
      </c>
      <c r="E28" s="150"/>
      <c r="F28" s="150"/>
      <c r="G28" s="150"/>
      <c r="H28" s="150"/>
      <c r="I28" s="150"/>
      <c r="J28" s="150"/>
      <c r="K28" s="145"/>
    </row>
    <row r="29" spans="1:11" s="3" customFormat="1" ht="13.8">
      <c r="A29" s="153">
        <f>A20+1</f>
        <v>3</v>
      </c>
      <c r="B29" s="154" t="s">
        <v>120</v>
      </c>
      <c r="C29" s="153" t="s">
        <v>121</v>
      </c>
      <c r="D29" s="155">
        <f>10*8.5</f>
        <v>85</v>
      </c>
      <c r="E29" s="156"/>
      <c r="F29" s="156"/>
      <c r="G29" s="156"/>
      <c r="H29" s="156"/>
      <c r="I29" s="156"/>
      <c r="J29" s="156"/>
      <c r="K29" s="145"/>
    </row>
    <row r="30" spans="1:11" s="3" customFormat="1" ht="13.8">
      <c r="A30" s="81"/>
      <c r="B30" s="157" t="s">
        <v>11</v>
      </c>
      <c r="C30" s="23" t="s">
        <v>121</v>
      </c>
      <c r="D30" s="158">
        <f>D29</f>
        <v>85</v>
      </c>
      <c r="E30" s="68"/>
      <c r="F30" s="68"/>
      <c r="G30" s="122"/>
      <c r="H30" s="68"/>
      <c r="I30" s="122"/>
      <c r="J30" s="68"/>
      <c r="K30" s="145"/>
    </row>
    <row r="31" spans="1:11" s="3" customFormat="1" ht="13.8">
      <c r="A31" s="81"/>
      <c r="B31" s="157" t="s">
        <v>12</v>
      </c>
      <c r="C31" s="23"/>
      <c r="D31" s="158"/>
      <c r="E31" s="68"/>
      <c r="F31" s="68"/>
      <c r="G31" s="122"/>
      <c r="H31" s="68"/>
      <c r="I31" s="122"/>
      <c r="J31" s="68"/>
      <c r="K31" s="145"/>
    </row>
    <row r="32" spans="1:11" s="3" customFormat="1" ht="13.8">
      <c r="A32" s="81"/>
      <c r="B32" s="157" t="s">
        <v>172</v>
      </c>
      <c r="C32" s="23" t="s">
        <v>121</v>
      </c>
      <c r="D32" s="158">
        <v>176</v>
      </c>
      <c r="E32" s="68"/>
      <c r="F32" s="68"/>
      <c r="G32" s="122"/>
      <c r="H32" s="68"/>
      <c r="I32" s="122"/>
      <c r="J32" s="68"/>
      <c r="K32" s="145"/>
    </row>
    <row r="33" spans="1:11" s="3" customFormat="1" ht="13.8">
      <c r="A33" s="81"/>
      <c r="B33" s="157" t="s">
        <v>122</v>
      </c>
      <c r="C33" s="23" t="s">
        <v>118</v>
      </c>
      <c r="D33" s="158">
        <v>10</v>
      </c>
      <c r="E33" s="68"/>
      <c r="F33" s="68"/>
      <c r="G33" s="122"/>
      <c r="H33" s="68"/>
      <c r="I33" s="122"/>
      <c r="J33" s="68"/>
      <c r="K33" s="145"/>
    </row>
    <row r="34" spans="1:11" s="3" customFormat="1" ht="13.8">
      <c r="A34" s="81"/>
      <c r="B34" s="157" t="s">
        <v>123</v>
      </c>
      <c r="C34" s="23" t="s">
        <v>118</v>
      </c>
      <c r="D34" s="158">
        <f>D32*6</f>
        <v>1056</v>
      </c>
      <c r="E34" s="68"/>
      <c r="F34" s="68"/>
      <c r="G34" s="122"/>
      <c r="H34" s="68"/>
      <c r="I34" s="122"/>
      <c r="J34" s="68"/>
      <c r="K34" s="145"/>
    </row>
    <row r="35" spans="1:11" s="3" customFormat="1" ht="13.8">
      <c r="A35" s="81"/>
      <c r="B35" s="157" t="s">
        <v>14</v>
      </c>
      <c r="C35" s="23" t="s">
        <v>5</v>
      </c>
      <c r="D35" s="158">
        <f>D29*0.2</f>
        <v>17</v>
      </c>
      <c r="E35" s="68"/>
      <c r="F35" s="68"/>
      <c r="G35" s="122"/>
      <c r="H35" s="68"/>
      <c r="I35" s="122"/>
      <c r="J35" s="68"/>
      <c r="K35" s="145"/>
    </row>
    <row r="36" spans="1:11" ht="15.6">
      <c r="A36" s="81"/>
      <c r="B36" s="139" t="s">
        <v>124</v>
      </c>
      <c r="C36" s="23"/>
      <c r="D36" s="160"/>
      <c r="E36" s="122"/>
      <c r="F36" s="122"/>
      <c r="G36" s="122"/>
      <c r="H36" s="122"/>
      <c r="I36" s="122"/>
      <c r="J36" s="150"/>
      <c r="K36" s="145"/>
    </row>
    <row r="37" spans="1:11">
      <c r="A37" s="22">
        <v>1</v>
      </c>
      <c r="B37" s="140" t="s">
        <v>148</v>
      </c>
      <c r="C37" s="22" t="s">
        <v>3</v>
      </c>
      <c r="D37" s="24">
        <v>128.202</v>
      </c>
      <c r="E37" s="141"/>
      <c r="F37" s="142"/>
      <c r="G37" s="143"/>
      <c r="H37" s="144"/>
      <c r="I37" s="141"/>
      <c r="J37" s="142"/>
      <c r="K37" s="145"/>
    </row>
    <row r="38" spans="1:11">
      <c r="A38" s="23"/>
      <c r="B38" s="159" t="s">
        <v>11</v>
      </c>
      <c r="C38" s="23" t="s">
        <v>3</v>
      </c>
      <c r="D38" s="115">
        <f>D37</f>
        <v>128.202</v>
      </c>
      <c r="E38" s="142"/>
      <c r="F38" s="142"/>
      <c r="G38" s="90"/>
      <c r="H38" s="142"/>
      <c r="I38" s="142"/>
      <c r="J38" s="142"/>
      <c r="K38" s="145"/>
    </row>
    <row r="39" spans="1:11">
      <c r="A39" s="23"/>
      <c r="B39" s="159" t="s">
        <v>12</v>
      </c>
      <c r="C39" s="23"/>
      <c r="D39" s="115"/>
      <c r="E39" s="142"/>
      <c r="F39" s="142"/>
      <c r="G39" s="90"/>
      <c r="H39" s="142"/>
      <c r="I39" s="142"/>
      <c r="J39" s="142"/>
      <c r="K39" s="145"/>
    </row>
    <row r="40" spans="1:11">
      <c r="A40" s="23"/>
      <c r="B40" s="159" t="s">
        <v>136</v>
      </c>
      <c r="C40" s="23" t="s">
        <v>3</v>
      </c>
      <c r="D40" s="115">
        <f>D37</f>
        <v>128.202</v>
      </c>
      <c r="E40" s="142"/>
      <c r="F40" s="142"/>
      <c r="G40" s="90"/>
      <c r="H40" s="142"/>
      <c r="I40" s="142"/>
      <c r="J40" s="142"/>
      <c r="K40" s="145"/>
    </row>
    <row r="41" spans="1:11">
      <c r="A41" s="23"/>
      <c r="B41" s="159" t="s">
        <v>14</v>
      </c>
      <c r="C41" s="23" t="s">
        <v>5</v>
      </c>
      <c r="D41" s="115">
        <f>D37*2</f>
        <v>256.404</v>
      </c>
      <c r="E41" s="142"/>
      <c r="F41" s="142"/>
      <c r="G41" s="90"/>
      <c r="H41" s="142"/>
      <c r="I41" s="142"/>
      <c r="J41" s="142"/>
      <c r="K41" s="145"/>
    </row>
    <row r="42" spans="1:11">
      <c r="A42" s="22">
        <f>A37+1</f>
        <v>2</v>
      </c>
      <c r="B42" s="140" t="s">
        <v>137</v>
      </c>
      <c r="C42" s="161" t="s">
        <v>3</v>
      </c>
      <c r="D42" s="24">
        <f>5*5*2</f>
        <v>50</v>
      </c>
      <c r="E42" s="162"/>
      <c r="F42" s="162"/>
      <c r="G42" s="162"/>
      <c r="H42" s="162"/>
      <c r="I42" s="162"/>
      <c r="J42" s="162"/>
      <c r="K42" s="163"/>
    </row>
    <row r="43" spans="1:11">
      <c r="A43" s="23"/>
      <c r="B43" s="159" t="s">
        <v>11</v>
      </c>
      <c r="C43" s="23" t="s">
        <v>3</v>
      </c>
      <c r="D43" s="115">
        <f>D42</f>
        <v>50</v>
      </c>
      <c r="E43" s="162"/>
      <c r="F43" s="162"/>
      <c r="G43" s="162"/>
      <c r="H43" s="162"/>
      <c r="I43" s="162"/>
      <c r="J43" s="162"/>
      <c r="K43" s="163"/>
    </row>
    <row r="44" spans="1:11">
      <c r="A44" s="23"/>
      <c r="B44" s="159" t="s">
        <v>12</v>
      </c>
      <c r="C44" s="23"/>
      <c r="D44" s="115"/>
      <c r="E44" s="162"/>
      <c r="F44" s="162"/>
      <c r="G44" s="162"/>
      <c r="H44" s="162"/>
      <c r="I44" s="162"/>
      <c r="J44" s="162"/>
      <c r="K44" s="163"/>
    </row>
    <row r="45" spans="1:11">
      <c r="A45" s="23"/>
      <c r="B45" s="159" t="s">
        <v>138</v>
      </c>
      <c r="C45" s="23" t="s">
        <v>3</v>
      </c>
      <c r="D45" s="115">
        <f>D42</f>
        <v>50</v>
      </c>
      <c r="E45" s="162"/>
      <c r="F45" s="162"/>
      <c r="G45" s="162"/>
      <c r="H45" s="162"/>
      <c r="I45" s="162"/>
      <c r="J45" s="162"/>
      <c r="K45" s="163"/>
    </row>
    <row r="46" spans="1:11">
      <c r="A46" s="23"/>
      <c r="B46" s="159" t="s">
        <v>14</v>
      </c>
      <c r="C46" s="23" t="s">
        <v>5</v>
      </c>
      <c r="D46" s="115">
        <f>D42*2</f>
        <v>100</v>
      </c>
      <c r="E46" s="162"/>
      <c r="F46" s="162"/>
      <c r="G46" s="162"/>
      <c r="H46" s="162"/>
      <c r="I46" s="162"/>
      <c r="J46" s="162"/>
      <c r="K46" s="163"/>
    </row>
    <row r="47" spans="1:11">
      <c r="A47" s="22">
        <f>A42+1</f>
        <v>3</v>
      </c>
      <c r="B47" s="140" t="s">
        <v>139</v>
      </c>
      <c r="C47" s="22" t="s">
        <v>85</v>
      </c>
      <c r="D47" s="24">
        <v>6</v>
      </c>
      <c r="E47" s="162"/>
      <c r="F47" s="162"/>
      <c r="G47" s="162"/>
      <c r="H47" s="162"/>
      <c r="I47" s="162"/>
      <c r="J47" s="162"/>
      <c r="K47" s="163"/>
    </row>
    <row r="48" spans="1:11">
      <c r="A48" s="23"/>
      <c r="B48" s="159" t="s">
        <v>11</v>
      </c>
      <c r="C48" s="23" t="str">
        <f>C47</f>
        <v>ც.</v>
      </c>
      <c r="D48" s="115">
        <f>D47</f>
        <v>6</v>
      </c>
      <c r="E48" s="162"/>
      <c r="F48" s="162"/>
      <c r="G48" s="162"/>
      <c r="H48" s="162"/>
      <c r="I48" s="162"/>
      <c r="J48" s="162"/>
      <c r="K48" s="163"/>
    </row>
    <row r="49" spans="1:11">
      <c r="A49" s="23"/>
      <c r="B49" s="159" t="s">
        <v>12</v>
      </c>
      <c r="C49" s="23"/>
      <c r="D49" s="115"/>
      <c r="E49" s="162"/>
      <c r="F49" s="162"/>
      <c r="G49" s="162"/>
      <c r="H49" s="162"/>
      <c r="I49" s="162"/>
      <c r="J49" s="162"/>
      <c r="K49" s="163"/>
    </row>
    <row r="50" spans="1:11">
      <c r="A50" s="23"/>
      <c r="B50" s="159" t="s">
        <v>140</v>
      </c>
      <c r="C50" s="23" t="str">
        <f>C48</f>
        <v>ც.</v>
      </c>
      <c r="D50" s="115">
        <f>D47</f>
        <v>6</v>
      </c>
      <c r="E50" s="162"/>
      <c r="F50" s="162"/>
      <c r="G50" s="162"/>
      <c r="H50" s="162"/>
      <c r="I50" s="162"/>
      <c r="J50" s="162"/>
      <c r="K50" s="163"/>
    </row>
    <row r="51" spans="1:11">
      <c r="A51" s="23"/>
      <c r="B51" s="159" t="s">
        <v>14</v>
      </c>
      <c r="C51" s="23" t="s">
        <v>5</v>
      </c>
      <c r="D51" s="115">
        <f>D47*50</f>
        <v>300</v>
      </c>
      <c r="E51" s="162"/>
      <c r="F51" s="162"/>
      <c r="G51" s="162"/>
      <c r="H51" s="162"/>
      <c r="I51" s="162"/>
      <c r="J51" s="162"/>
      <c r="K51" s="163"/>
    </row>
    <row r="52" spans="1:11">
      <c r="A52" s="22">
        <f>A47+1</f>
        <v>4</v>
      </c>
      <c r="B52" s="140" t="s">
        <v>141</v>
      </c>
      <c r="C52" s="22" t="s">
        <v>85</v>
      </c>
      <c r="D52" s="24">
        <v>4</v>
      </c>
      <c r="E52" s="162"/>
      <c r="F52" s="162"/>
      <c r="G52" s="162"/>
      <c r="H52" s="162"/>
      <c r="I52" s="162"/>
      <c r="J52" s="162"/>
      <c r="K52" s="163"/>
    </row>
    <row r="53" spans="1:11">
      <c r="A53" s="23"/>
      <c r="B53" s="159" t="s">
        <v>11</v>
      </c>
      <c r="C53" s="23" t="str">
        <f>C52</f>
        <v>ც.</v>
      </c>
      <c r="D53" s="115">
        <f>D52</f>
        <v>4</v>
      </c>
      <c r="E53" s="162"/>
      <c r="F53" s="162"/>
      <c r="G53" s="162"/>
      <c r="H53" s="162"/>
      <c r="I53" s="162"/>
      <c r="J53" s="162"/>
      <c r="K53" s="163"/>
    </row>
    <row r="54" spans="1:11">
      <c r="A54" s="23"/>
      <c r="B54" s="159" t="s">
        <v>12</v>
      </c>
      <c r="C54" s="23"/>
      <c r="D54" s="115"/>
      <c r="E54" s="162"/>
      <c r="F54" s="162"/>
      <c r="G54" s="162"/>
      <c r="H54" s="162"/>
      <c r="I54" s="162"/>
      <c r="J54" s="162"/>
      <c r="K54" s="163"/>
    </row>
    <row r="55" spans="1:11">
      <c r="A55" s="23"/>
      <c r="B55" s="159" t="s">
        <v>142</v>
      </c>
      <c r="C55" s="23" t="str">
        <f>C53</f>
        <v>ც.</v>
      </c>
      <c r="D55" s="115">
        <f>D52</f>
        <v>4</v>
      </c>
      <c r="E55" s="162"/>
      <c r="F55" s="162"/>
      <c r="G55" s="162"/>
      <c r="H55" s="162"/>
      <c r="I55" s="162"/>
      <c r="J55" s="162"/>
      <c r="K55" s="163"/>
    </row>
    <row r="56" spans="1:11">
      <c r="A56" s="23"/>
      <c r="B56" s="159" t="s">
        <v>14</v>
      </c>
      <c r="C56" s="23" t="s">
        <v>5</v>
      </c>
      <c r="D56" s="115">
        <f>D52*20</f>
        <v>80</v>
      </c>
      <c r="E56" s="162"/>
      <c r="F56" s="162"/>
      <c r="G56" s="162"/>
      <c r="H56" s="162"/>
      <c r="I56" s="162"/>
      <c r="J56" s="162"/>
      <c r="K56" s="163"/>
    </row>
    <row r="57" spans="1:11">
      <c r="A57" s="22">
        <f>A52+1</f>
        <v>5</v>
      </c>
      <c r="B57" s="140" t="s">
        <v>125</v>
      </c>
      <c r="C57" s="22" t="s">
        <v>3</v>
      </c>
      <c r="D57" s="24">
        <f>1.5*1.5*3</f>
        <v>6.75</v>
      </c>
      <c r="E57" s="141"/>
      <c r="F57" s="142"/>
      <c r="G57" s="143"/>
      <c r="H57" s="144"/>
      <c r="I57" s="141"/>
      <c r="J57" s="142"/>
      <c r="K57" s="145"/>
    </row>
    <row r="58" spans="1:11">
      <c r="A58" s="23"/>
      <c r="B58" s="159" t="s">
        <v>11</v>
      </c>
      <c r="C58" s="23" t="s">
        <v>3</v>
      </c>
      <c r="D58" s="115">
        <f>D57</f>
        <v>6.75</v>
      </c>
      <c r="E58" s="142"/>
      <c r="F58" s="142"/>
      <c r="G58" s="90"/>
      <c r="H58" s="142"/>
      <c r="I58" s="142"/>
      <c r="J58" s="142"/>
      <c r="K58" s="145"/>
    </row>
    <row r="59" spans="1:11">
      <c r="A59" s="23"/>
      <c r="B59" s="159" t="s">
        <v>12</v>
      </c>
      <c r="C59" s="23"/>
      <c r="D59" s="115"/>
      <c r="E59" s="142"/>
      <c r="F59" s="142"/>
      <c r="G59" s="90"/>
      <c r="H59" s="142"/>
      <c r="I59" s="142"/>
      <c r="J59" s="142"/>
      <c r="K59" s="145"/>
    </row>
    <row r="60" spans="1:11">
      <c r="A60" s="23"/>
      <c r="B60" s="159" t="s">
        <v>126</v>
      </c>
      <c r="C60" s="23" t="s">
        <v>3</v>
      </c>
      <c r="D60" s="115">
        <f>D57</f>
        <v>6.75</v>
      </c>
      <c r="E60" s="142"/>
      <c r="F60" s="142"/>
      <c r="G60" s="90"/>
      <c r="H60" s="142"/>
      <c r="I60" s="142"/>
      <c r="J60" s="142"/>
      <c r="K60" s="145"/>
    </row>
    <row r="61" spans="1:11">
      <c r="A61" s="23"/>
      <c r="B61" s="159" t="s">
        <v>14</v>
      </c>
      <c r="C61" s="23" t="s">
        <v>5</v>
      </c>
      <c r="D61" s="115">
        <f>D57*2</f>
        <v>13.5</v>
      </c>
      <c r="E61" s="142"/>
      <c r="F61" s="142"/>
      <c r="G61" s="90"/>
      <c r="H61" s="142"/>
      <c r="I61" s="142"/>
      <c r="J61" s="142"/>
      <c r="K61" s="145"/>
    </row>
    <row r="62" spans="1:11">
      <c r="A62" s="22">
        <f>A57+1</f>
        <v>6</v>
      </c>
      <c r="B62" s="140" t="s">
        <v>127</v>
      </c>
      <c r="C62" s="22" t="s">
        <v>3</v>
      </c>
      <c r="D62" s="24">
        <f>1*2.3*2</f>
        <v>4.5999999999999996</v>
      </c>
      <c r="E62" s="141"/>
      <c r="F62" s="142"/>
      <c r="G62" s="143"/>
      <c r="H62" s="144"/>
      <c r="I62" s="141"/>
      <c r="J62" s="142"/>
      <c r="K62" s="145"/>
    </row>
    <row r="63" spans="1:11">
      <c r="A63" s="23"/>
      <c r="B63" s="159" t="s">
        <v>11</v>
      </c>
      <c r="C63" s="23" t="s">
        <v>3</v>
      </c>
      <c r="D63" s="115">
        <f>D62</f>
        <v>4.5999999999999996</v>
      </c>
      <c r="E63" s="142"/>
      <c r="F63" s="142"/>
      <c r="G63" s="90"/>
      <c r="H63" s="142"/>
      <c r="I63" s="142"/>
      <c r="J63" s="142"/>
      <c r="K63" s="145"/>
    </row>
    <row r="64" spans="1:11">
      <c r="A64" s="23"/>
      <c r="B64" s="159" t="s">
        <v>12</v>
      </c>
      <c r="C64" s="23"/>
      <c r="D64" s="115"/>
      <c r="E64" s="142"/>
      <c r="F64" s="142"/>
      <c r="G64" s="90"/>
      <c r="H64" s="142"/>
      <c r="I64" s="142"/>
      <c r="J64" s="142"/>
      <c r="K64" s="145"/>
    </row>
    <row r="65" spans="1:11">
      <c r="A65" s="23"/>
      <c r="B65" s="159" t="s">
        <v>128</v>
      </c>
      <c r="C65" s="23" t="s">
        <v>3</v>
      </c>
      <c r="D65" s="115">
        <f>D62</f>
        <v>4.5999999999999996</v>
      </c>
      <c r="E65" s="142"/>
      <c r="F65" s="142"/>
      <c r="G65" s="90"/>
      <c r="H65" s="142"/>
      <c r="I65" s="142"/>
      <c r="J65" s="142"/>
      <c r="K65" s="145"/>
    </row>
    <row r="66" spans="1:11">
      <c r="A66" s="23"/>
      <c r="B66" s="159" t="s">
        <v>14</v>
      </c>
      <c r="C66" s="23" t="s">
        <v>5</v>
      </c>
      <c r="D66" s="115">
        <f>D62*2</f>
        <v>9.1999999999999993</v>
      </c>
      <c r="E66" s="142"/>
      <c r="F66" s="142"/>
      <c r="G66" s="90"/>
      <c r="H66" s="142"/>
      <c r="I66" s="142"/>
      <c r="J66" s="142"/>
      <c r="K66" s="145"/>
    </row>
    <row r="67" spans="1:11" ht="15.6">
      <c r="A67" s="23"/>
      <c r="B67" s="139" t="s">
        <v>143</v>
      </c>
      <c r="C67" s="23"/>
      <c r="D67" s="115"/>
      <c r="E67" s="162"/>
      <c r="F67" s="162"/>
      <c r="G67" s="162"/>
      <c r="H67" s="162"/>
      <c r="I67" s="162"/>
      <c r="J67" s="162"/>
      <c r="K67" s="163"/>
    </row>
    <row r="68" spans="1:11">
      <c r="A68" s="164">
        <v>1</v>
      </c>
      <c r="B68" s="165" t="s">
        <v>170</v>
      </c>
      <c r="C68" s="153" t="s">
        <v>144</v>
      </c>
      <c r="D68" s="166">
        <v>7</v>
      </c>
      <c r="E68" s="162"/>
      <c r="F68" s="162"/>
      <c r="G68" s="162"/>
      <c r="H68" s="162"/>
      <c r="I68" s="162"/>
      <c r="J68" s="162"/>
      <c r="K68" s="163"/>
    </row>
    <row r="69" spans="1:11">
      <c r="A69" s="164"/>
      <c r="B69" s="167" t="s">
        <v>11</v>
      </c>
      <c r="C69" s="168" t="s">
        <v>145</v>
      </c>
      <c r="D69" s="169">
        <f>D68</f>
        <v>7</v>
      </c>
      <c r="E69" s="162"/>
      <c r="F69" s="162"/>
      <c r="G69" s="162"/>
      <c r="H69" s="162"/>
      <c r="I69" s="162"/>
      <c r="J69" s="162"/>
      <c r="K69" s="163"/>
    </row>
    <row r="70" spans="1:11">
      <c r="A70" s="164"/>
      <c r="B70" s="167" t="s">
        <v>12</v>
      </c>
      <c r="C70" s="170"/>
      <c r="D70" s="169"/>
      <c r="E70" s="162"/>
      <c r="F70" s="162"/>
      <c r="G70" s="162"/>
      <c r="H70" s="162"/>
      <c r="I70" s="162"/>
      <c r="J70" s="162"/>
      <c r="K70" s="163"/>
    </row>
    <row r="71" spans="1:11">
      <c r="A71" s="164"/>
      <c r="B71" s="167" t="s">
        <v>146</v>
      </c>
      <c r="C71" s="170" t="s">
        <v>94</v>
      </c>
      <c r="D71" s="169">
        <f>D68*0.05</f>
        <v>0.35000000000000003</v>
      </c>
      <c r="E71" s="162"/>
      <c r="F71" s="162"/>
      <c r="G71" s="162"/>
      <c r="H71" s="162"/>
      <c r="I71" s="162"/>
      <c r="J71" s="162"/>
      <c r="K71" s="163"/>
    </row>
    <row r="72" spans="1:11">
      <c r="A72" s="164"/>
      <c r="B72" s="167" t="s">
        <v>147</v>
      </c>
      <c r="C72" s="168" t="s">
        <v>145</v>
      </c>
      <c r="D72" s="169">
        <v>5.6</v>
      </c>
      <c r="E72" s="162"/>
      <c r="F72" s="162"/>
      <c r="G72" s="162"/>
      <c r="H72" s="162"/>
      <c r="I72" s="162"/>
      <c r="J72" s="162"/>
      <c r="K72" s="163"/>
    </row>
    <row r="73" spans="1:11">
      <c r="A73" s="164">
        <f>A68+1</f>
        <v>2</v>
      </c>
      <c r="B73" s="165" t="s">
        <v>171</v>
      </c>
      <c r="C73" s="153" t="s">
        <v>116</v>
      </c>
      <c r="D73" s="166">
        <v>25</v>
      </c>
      <c r="E73" s="162"/>
      <c r="F73" s="162"/>
      <c r="G73" s="162"/>
      <c r="H73" s="162"/>
      <c r="I73" s="162"/>
      <c r="J73" s="162"/>
      <c r="K73" s="163"/>
    </row>
    <row r="74" spans="1:11">
      <c r="A74" s="164"/>
      <c r="B74" s="167" t="s">
        <v>11</v>
      </c>
      <c r="C74" s="168" t="s">
        <v>145</v>
      </c>
      <c r="D74" s="169">
        <f>D73</f>
        <v>25</v>
      </c>
      <c r="E74" s="162"/>
      <c r="F74" s="162"/>
      <c r="G74" s="162"/>
      <c r="H74" s="162"/>
      <c r="I74" s="162"/>
      <c r="J74" s="162"/>
      <c r="K74" s="163"/>
    </row>
    <row r="75" spans="1:11">
      <c r="A75" s="164"/>
      <c r="B75" s="167" t="s">
        <v>12</v>
      </c>
      <c r="C75" s="170"/>
      <c r="D75" s="169"/>
      <c r="E75" s="162"/>
      <c r="F75" s="162"/>
      <c r="G75" s="162"/>
      <c r="H75" s="162"/>
      <c r="I75" s="162"/>
      <c r="J75" s="162"/>
      <c r="K75" s="163"/>
    </row>
    <row r="76" spans="1:11">
      <c r="A76" s="164"/>
      <c r="B76" s="167" t="s">
        <v>147</v>
      </c>
      <c r="C76" s="168" t="s">
        <v>145</v>
      </c>
      <c r="D76" s="169">
        <f>D73</f>
        <v>25</v>
      </c>
      <c r="E76" s="162"/>
      <c r="F76" s="162"/>
      <c r="G76" s="162"/>
      <c r="H76" s="162"/>
      <c r="I76" s="162"/>
      <c r="J76" s="162"/>
      <c r="K76" s="163"/>
    </row>
    <row r="77" spans="1:11" ht="27.6">
      <c r="A77" s="22">
        <f>A73+1</f>
        <v>3</v>
      </c>
      <c r="B77" s="119" t="s">
        <v>129</v>
      </c>
      <c r="C77" s="22" t="s">
        <v>130</v>
      </c>
      <c r="D77" s="171">
        <v>20</v>
      </c>
      <c r="E77" s="74"/>
      <c r="F77" s="74"/>
      <c r="G77" s="74"/>
      <c r="H77" s="74"/>
      <c r="I77" s="74"/>
      <c r="J77" s="68"/>
      <c r="K77" s="145"/>
    </row>
    <row r="78" spans="1:11">
      <c r="A78" s="69"/>
      <c r="B78" s="70" t="s">
        <v>18</v>
      </c>
      <c r="C78" s="69"/>
      <c r="D78" s="71"/>
      <c r="E78" s="72"/>
      <c r="F78" s="179">
        <f>SUM(F10:F77)</f>
        <v>0</v>
      </c>
      <c r="G78" s="179"/>
      <c r="H78" s="179">
        <f t="shared" ref="H78:K78" si="0">SUM(H10:H77)</f>
        <v>0</v>
      </c>
      <c r="I78" s="179"/>
      <c r="J78" s="179">
        <f t="shared" si="0"/>
        <v>0</v>
      </c>
      <c r="K78" s="179">
        <f t="shared" si="0"/>
        <v>0</v>
      </c>
    </row>
    <row r="79" spans="1:11">
      <c r="A79" s="81"/>
      <c r="B79" s="75" t="s">
        <v>175</v>
      </c>
      <c r="C79" s="73" t="s">
        <v>101</v>
      </c>
      <c r="D79" s="75"/>
      <c r="E79" s="76"/>
      <c r="F79" s="77"/>
      <c r="G79" s="77"/>
      <c r="H79" s="77"/>
      <c r="I79" s="77"/>
      <c r="J79" s="77"/>
      <c r="K79" s="78"/>
    </row>
    <row r="80" spans="1:11">
      <c r="A80" s="81"/>
      <c r="B80" s="75" t="s">
        <v>18</v>
      </c>
      <c r="C80" s="73"/>
      <c r="D80" s="75"/>
      <c r="E80" s="76"/>
      <c r="F80" s="77"/>
      <c r="G80" s="77"/>
      <c r="H80" s="77"/>
      <c r="I80" s="77"/>
      <c r="J80" s="77"/>
      <c r="K80" s="78"/>
    </row>
    <row r="81" spans="1:11">
      <c r="A81" s="81"/>
      <c r="B81" s="75" t="s">
        <v>131</v>
      </c>
      <c r="C81" s="73" t="s">
        <v>101</v>
      </c>
      <c r="D81" s="75"/>
      <c r="E81" s="76"/>
      <c r="F81" s="77"/>
      <c r="G81" s="77"/>
      <c r="H81" s="77"/>
      <c r="I81" s="77"/>
      <c r="J81" s="77"/>
      <c r="K81" s="78"/>
    </row>
    <row r="82" spans="1:11">
      <c r="A82" s="81"/>
      <c r="B82" s="75" t="s">
        <v>18</v>
      </c>
      <c r="C82" s="73"/>
      <c r="D82" s="75"/>
      <c r="E82" s="76"/>
      <c r="F82" s="77"/>
      <c r="G82" s="77"/>
      <c r="H82" s="77"/>
      <c r="I82" s="77"/>
      <c r="J82" s="77"/>
      <c r="K82" s="78"/>
    </row>
    <row r="83" spans="1:11">
      <c r="A83" s="81"/>
      <c r="B83" s="75" t="s">
        <v>19</v>
      </c>
      <c r="C83" s="73" t="s">
        <v>101</v>
      </c>
      <c r="D83" s="75"/>
      <c r="E83" s="76"/>
      <c r="F83" s="77"/>
      <c r="G83" s="77"/>
      <c r="H83" s="77"/>
      <c r="I83" s="77"/>
      <c r="J83" s="77"/>
      <c r="K83" s="78"/>
    </row>
    <row r="84" spans="1:11">
      <c r="A84" s="81"/>
      <c r="B84" s="75" t="s">
        <v>18</v>
      </c>
      <c r="C84" s="73"/>
      <c r="D84" s="75"/>
      <c r="E84" s="76"/>
      <c r="F84" s="77"/>
      <c r="G84" s="77"/>
      <c r="H84" s="77"/>
      <c r="I84" s="77"/>
      <c r="J84" s="77"/>
      <c r="K84" s="78"/>
    </row>
    <row r="85" spans="1:11">
      <c r="A85" s="81"/>
      <c r="B85" s="75" t="s">
        <v>20</v>
      </c>
      <c r="C85" s="73" t="s">
        <v>101</v>
      </c>
      <c r="D85" s="75"/>
      <c r="E85" s="76"/>
      <c r="F85" s="77"/>
      <c r="G85" s="77"/>
      <c r="H85" s="77"/>
      <c r="I85" s="77"/>
      <c r="J85" s="77"/>
      <c r="K85" s="78"/>
    </row>
    <row r="86" spans="1:11">
      <c r="A86" s="81"/>
      <c r="B86" s="75" t="s">
        <v>18</v>
      </c>
      <c r="C86" s="73"/>
      <c r="D86" s="75"/>
      <c r="E86" s="76"/>
      <c r="F86" s="77"/>
      <c r="G86" s="77"/>
      <c r="H86" s="77"/>
      <c r="I86" s="77"/>
      <c r="J86" s="77"/>
      <c r="K86" s="78"/>
    </row>
  </sheetData>
  <mergeCells count="13">
    <mergeCell ref="K5:K8"/>
    <mergeCell ref="D7:D8"/>
    <mergeCell ref="A1:K1"/>
    <mergeCell ref="A2:K2"/>
    <mergeCell ref="F7:F8"/>
    <mergeCell ref="H7:H8"/>
    <mergeCell ref="J7:J8"/>
    <mergeCell ref="A5:A8"/>
    <mergeCell ref="C5:C8"/>
    <mergeCell ref="D5:D6"/>
    <mergeCell ref="E5:F6"/>
    <mergeCell ref="G5:H6"/>
    <mergeCell ref="I5:J6"/>
  </mergeCells>
  <conditionalFormatting sqref="D80">
    <cfRule type="cellIs" dxfId="0" priority="1" stopIfTrue="1" operator="equal">
      <formula>8223.307275</formula>
    </cfRule>
  </conditionalFormatting>
  <pageMargins left="0.7" right="0.7" top="0.75" bottom="0.75" header="0.3" footer="0.3"/>
  <pageSetup scale="5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კრებსითი</vt:lpstr>
      <vt:lpstr>მოსამზადებელი</vt:lpstr>
      <vt:lpstr>დემონტაჟი გრუნტი-ინერტულ.</vt:lpstr>
      <vt:lpstr>კონსტრუქციული</vt:lpstr>
      <vt:lpstr>არქიტექტურა</vt:lpstr>
      <vt:lpstr>არქიტექტურა!Print_Area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TEKLA NOZADZE</cp:lastModifiedBy>
  <dcterms:created xsi:type="dcterms:W3CDTF">2015-06-05T18:17:20Z</dcterms:created>
  <dcterms:modified xsi:type="dcterms:W3CDTF">2023-06-30T12:05:47Z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2023-06-30T11:33:31Z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a766d61e-5d7b-4d5a-9589-e969817b94fa</vt:lpwstr>
  </property>
  <property fmtid="{D5CDD505-2E9C-101B-9397-08002B2CF9AE}" pid="8" name="MSIP_Label_9a163e20-555e-4075-b2ae-3cbb7385f9a2_ContentBits">
    <vt:lpwstr>0</vt:lpwstr>
  </property>
</Properties>
</file>