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32977EF-3203-4217-B857-D7F8381361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ბათუმი ძველი ვიტრინით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0" l="1"/>
  <c r="I9" i="10"/>
  <c r="I50" i="10"/>
  <c r="J72" i="10"/>
  <c r="M63" i="10"/>
  <c r="I63" i="10"/>
  <c r="M62" i="10"/>
  <c r="N62" i="10" s="1"/>
  <c r="L62" i="10"/>
  <c r="I62" i="10"/>
  <c r="M61" i="10"/>
  <c r="L55" i="10"/>
  <c r="K55" i="10"/>
  <c r="N53" i="10"/>
  <c r="K53" i="10"/>
  <c r="N52" i="10"/>
  <c r="I52" i="10"/>
  <c r="I51" i="10"/>
  <c r="I49" i="10"/>
  <c r="L48" i="10"/>
  <c r="I48" i="10"/>
  <c r="K47" i="10"/>
  <c r="I46" i="10"/>
  <c r="I44" i="10"/>
  <c r="N42" i="10"/>
  <c r="L42" i="10"/>
  <c r="K42" i="10"/>
  <c r="I42" i="10"/>
  <c r="M41" i="10"/>
  <c r="N41" i="10" s="1"/>
  <c r="I38" i="10"/>
  <c r="M33" i="10"/>
  <c r="N33" i="10" s="1"/>
  <c r="I27" i="10"/>
  <c r="K24" i="10"/>
  <c r="J24" i="10"/>
  <c r="M23" i="10"/>
  <c r="K23" i="10"/>
  <c r="L22" i="10"/>
  <c r="K22" i="10"/>
  <c r="J22" i="10"/>
  <c r="D20" i="10"/>
  <c r="D17" i="10"/>
  <c r="D16" i="10"/>
  <c r="I15" i="10"/>
  <c r="W13" i="10"/>
  <c r="D13" i="10"/>
  <c r="D10" i="10"/>
  <c r="W9" i="10"/>
  <c r="M9" i="10"/>
  <c r="K9" i="10"/>
  <c r="I8" i="10"/>
  <c r="L6" i="10"/>
  <c r="P6" i="10" s="1"/>
  <c r="O4" i="10"/>
  <c r="P4" i="10" s="1"/>
  <c r="P7" i="10" s="1"/>
  <c r="M22" i="10" l="1"/>
  <c r="I45" i="10"/>
  <c r="I64" i="10"/>
  <c r="M55" i="10"/>
  <c r="I61" i="10"/>
  <c r="I14" i="10"/>
  <c r="I18" i="10"/>
  <c r="I26" i="10"/>
  <c r="I36" i="10"/>
  <c r="I33" i="10"/>
  <c r="I22" i="10"/>
  <c r="I25" i="10"/>
  <c r="I28" i="10"/>
  <c r="I41" i="10"/>
  <c r="I13" i="10"/>
  <c r="I16" i="10"/>
  <c r="I32" i="10"/>
  <c r="I24" i="10"/>
  <c r="I55" i="10"/>
  <c r="I17" i="10"/>
  <c r="I19" i="10"/>
  <c r="I34" i="10"/>
  <c r="I37" i="10"/>
  <c r="I12" i="10"/>
  <c r="I30" i="10"/>
  <c r="I47" i="10"/>
  <c r="I11" i="10"/>
  <c r="I23" i="10"/>
  <c r="I29" i="10"/>
  <c r="I39" i="10"/>
  <c r="I43" i="10"/>
  <c r="I53" i="10"/>
  <c r="I10" i="10"/>
  <c r="D21" i="10"/>
  <c r="I20" i="10"/>
  <c r="I66" i="10" l="1"/>
  <c r="I65" i="10"/>
  <c r="I21" i="10"/>
  <c r="I67" i="10" l="1"/>
  <c r="I68" i="10" s="1"/>
  <c r="I69" i="10" l="1"/>
  <c r="I70" i="10" s="1"/>
  <c r="I72" i="10" l="1"/>
  <c r="I4" i="10"/>
  <c r="K70" i="10"/>
  <c r="K72" i="10" s="1"/>
</calcChain>
</file>

<file path=xl/sharedStrings.xml><?xml version="1.0" encoding="utf-8"?>
<sst xmlns="http://schemas.openxmlformats.org/spreadsheetml/2006/main" count="132" uniqueCount="93">
  <si>
    <r>
      <t xml:space="preserve">დანართი 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>1</t>
    </r>
  </si>
  <si>
    <t>თარიღი :</t>
  </si>
  <si>
    <t>No</t>
  </si>
  <si>
    <t>შესასრულებელი სამუშაოები</t>
  </si>
  <si>
    <t>საზომი 
ერთეული</t>
  </si>
  <si>
    <t>რაოდენობა</t>
  </si>
  <si>
    <t>მასალის ფასი</t>
  </si>
  <si>
    <t>ხელობა</t>
  </si>
  <si>
    <t>საერთო 
ღირებულება</t>
  </si>
  <si>
    <t>ერთეული</t>
  </si>
  <si>
    <t>ჯამი</t>
  </si>
  <si>
    <t>კარები და ფანჯრები</t>
  </si>
  <si>
    <t>ცალი</t>
  </si>
  <si>
    <t>სულ</t>
  </si>
  <si>
    <t>დამხმარე  მუშის  დღიური  ხელფასი</t>
  </si>
  <si>
    <t>კაც/დღე</t>
  </si>
  <si>
    <t>ელექტროობა სუსტი დენები</t>
  </si>
  <si>
    <t>გ/მ</t>
  </si>
  <si>
    <t>მოგება:</t>
  </si>
  <si>
    <t>გაუთვალისწინებელი ხარჯი:</t>
  </si>
  <si>
    <t>დღგ</t>
  </si>
  <si>
    <t>სულ ჯამი</t>
  </si>
  <si>
    <r>
      <t>მ</t>
    </r>
    <r>
      <rPr>
        <vertAlign val="superscript"/>
        <sz val="10"/>
        <rFont val="Arial"/>
        <family val="2"/>
      </rPr>
      <t>2</t>
    </r>
  </si>
  <si>
    <r>
      <t>სამშენებლო ნაგვის დატვირთვა ავტოთვითმცლელზე (4მ</t>
    </r>
    <r>
      <rPr>
        <vertAlign val="superscript"/>
        <sz val="10"/>
        <rFont val="AcadNusx"/>
      </rPr>
      <t>3</t>
    </r>
    <r>
      <rPr>
        <sz val="10"/>
        <rFont val="AcadNusx"/>
      </rPr>
      <t>-იანი ძარით) და გატანა ნაგავსაყრელზე</t>
    </r>
  </si>
  <si>
    <t>გრძ/მ</t>
  </si>
  <si>
    <t>იატაკები</t>
  </si>
  <si>
    <t>მ2</t>
  </si>
  <si>
    <t>კომპლ.</t>
  </si>
  <si>
    <t xml:space="preserve">fasadis samuSaoebi </t>
  </si>
  <si>
    <t xml:space="preserve">კედლების არმირება გალესვის წინ. არმირება მოეწყოს მზა Ø-6მმ არმატურით ბადით  </t>
  </si>
  <si>
    <t>მდფ-ის  H-70მმ პლინტუსის ღირებულება მონტაჟი</t>
  </si>
  <si>
    <t>სალაროს ხონჩა 40*30სმ უჟანგავი ლითონის (იგულისხმება ღია ხონჩა უჯრის გარეშე)</t>
  </si>
  <si>
    <r>
      <rPr>
        <b/>
        <sz val="10"/>
        <color indexed="8"/>
        <rFont val="Arial"/>
        <family val="2"/>
      </rPr>
      <t xml:space="preserve">ობიექტი: </t>
    </r>
    <r>
      <rPr>
        <sz val="10"/>
        <color indexed="8"/>
        <rFont val="Arial"/>
        <family val="2"/>
      </rPr>
      <t xml:space="preserve"> სს  “პაშა ბანკი“ რე ბანკის ფილიალის რეკონსტრუქცია</t>
    </r>
  </si>
  <si>
    <r>
      <t>შიდა კედლების დამუშავება კნაუფის ფითხით დაგრუნტვა და მაღალხარისხოვანი შეღებვა</t>
    </r>
    <r>
      <rPr>
        <b/>
        <sz val="10"/>
        <rFont val="Arial"/>
        <family val="2"/>
      </rPr>
      <t xml:space="preserve"> "კაპაროლის" </t>
    </r>
    <r>
      <rPr>
        <sz val="10"/>
        <rFont val="Arial"/>
        <family val="2"/>
      </rPr>
      <t xml:space="preserve"> წყალ-ემულსიური  საღებავით  (ფერი დამკვეთთან შეთანხმდეს)</t>
    </r>
  </si>
  <si>
    <t>სწორხაზოვანი  წახნაგების მოპირკეთება გალვანიზირებული კნაუფის სამღებრო კუთხოვანებით</t>
  </si>
  <si>
    <t>ლამინირებული პარკეტის ღირებულება და მონტაჟი, რბილი საფენის გათვალისწინებით (იგულისხმება  მაღალი  ხარისხის 33კლასის გერმანული პარკეტი სისქით 8 -10მმ,  საბაზრო ღირებულებით  45 ლ)</t>
  </si>
  <si>
    <t>18$</t>
  </si>
  <si>
    <t>სახელური 60სმ</t>
  </si>
  <si>
    <t>75ლ</t>
  </si>
  <si>
    <t>60.50ლ</t>
  </si>
  <si>
    <t>საკეტი</t>
  </si>
  <si>
    <t>50ლ</t>
  </si>
  <si>
    <t>16+50</t>
  </si>
  <si>
    <t>სალასკა 3.2</t>
  </si>
  <si>
    <t>კუსა</t>
  </si>
  <si>
    <t>მისამართი: ქ. ბათუმი, ფარნავაზ მეფის 126-128</t>
  </si>
  <si>
    <t>სულ ფასი:</t>
  </si>
  <si>
    <t>მ3</t>
  </si>
  <si>
    <t>_არმატურა Ф12АIII</t>
  </si>
  <si>
    <t>ტ</t>
  </si>
  <si>
    <t>_ბეტონი B25</t>
  </si>
  <si>
    <t>_დამხმარე მასალები (ლურსმანი, შემკრავი მავთული, საჭრელი დისკები და სხვა)</t>
  </si>
  <si>
    <t>ბგერაიზოლაციის  მოწყობა ერთი ფენა  75მმ სისქის  მინაბამბით</t>
  </si>
  <si>
    <t>რკინის კარების შეღებვა მაღალხარისხოვანი ემალის საღებავით ზედაპირის დამუშავებით (ფერი დამკვეთთან შეთანხმდეს)</t>
  </si>
  <si>
    <t xml:space="preserve">სალაროში ღორღის ნაყარის მოწყობა Н=25სმ </t>
  </si>
  <si>
    <t>მეტალის სალაროს კარის დემონტაჟი არსებულ ფილიალში, ტრანსპორტირება და მონტაჟი ახალ ფილიალში</t>
  </si>
  <si>
    <t>სალაროს ჯავშნიანი მინის დემონტაჟი არსებულ ფილიალში, ტრანსპორტირება და მონტაჟი ახალ ფილიალში</t>
  </si>
  <si>
    <t>МДФ-ის კარის  ბლოკის დემონტაჟი არსებულ ფილიალში, ტრანსპორტირება და მონტაჟი ახალ ფილიალში</t>
  </si>
  <si>
    <t>მინის კარების საკეტები, ჩამკეტი მექანიზმები (პომპა), სახელურები და ყველა სხვა მაკომპლექტებელი ელემენტების ღირებულება</t>
  </si>
  <si>
    <t>დემონტირებული მინის კარების მონტაჟი (4ც ფრთა)</t>
  </si>
  <si>
    <t>არსებული ვიტრაჟების და შესასვლელი კარებების ჩარჩოების  შეღებვა შავი საღებავით</t>
  </si>
  <si>
    <r>
      <t xml:space="preserve">ცრუ რიგელების კოლონების და ვერტიკალური კორობების  მოწყობა უბრალო თაბაშირმუყაოს ფილებით კნაუფის კარკასზე </t>
    </r>
    <r>
      <rPr>
        <sz val="10"/>
        <color rgb="FFFF0000"/>
        <rFont val="Arial"/>
        <family val="2"/>
      </rPr>
      <t>(რაოდენობა დაზუსტდეს რეალურად შესრულებული სამუშაოს მიხედვით)</t>
    </r>
  </si>
  <si>
    <r>
      <t xml:space="preserve">ჭერების დამუშავება კნაუფის ფითხით დაგრუნტვა და მაღალხარისხოვანი შეღებვა </t>
    </r>
    <r>
      <rPr>
        <b/>
        <sz val="10"/>
        <rFont val="Arial"/>
        <family val="2"/>
      </rPr>
      <t xml:space="preserve">"კაპაროლის" </t>
    </r>
    <r>
      <rPr>
        <sz val="10"/>
        <rFont val="Arial"/>
        <family val="2"/>
      </rPr>
      <t xml:space="preserve"> წყალ-ემულსიური  საღებავით  ფერი თეთრი (სამზარეულო, სანკვანძი, დამხმარე სათავსოები ანტრესოლზე)</t>
    </r>
  </si>
  <si>
    <t>ჭერები</t>
  </si>
  <si>
    <r>
      <t xml:space="preserve">იატაკის გამასწორებელი ფენილის  მოწყობა ქვიშა-ცემენტის ხსნარით, საშუალოდ  50მმ სისქის, </t>
    </r>
    <r>
      <rPr>
        <b/>
        <sz val="10"/>
        <rFont val="Arial"/>
        <family val="2"/>
      </rPr>
      <t xml:space="preserve"> М-100 </t>
    </r>
    <r>
      <rPr>
        <sz val="10"/>
        <rFont val="Arial"/>
        <family val="2"/>
      </rPr>
      <t>მარკის ცემენტის ხსნარით</t>
    </r>
  </si>
  <si>
    <t>ფასადის ვიტრინების დემონტაჟი და ახლის მონტაჯი შავი ალუმინის პროფილით</t>
  </si>
  <si>
    <t>მინის ორფრთიანი კარების დემონტაჟი ფასადის ვიტრინებიდან (6ც ფრთა)</t>
  </si>
  <si>
    <r>
      <t xml:space="preserve">მინების ბრონირება </t>
    </r>
    <r>
      <rPr>
        <b/>
        <sz val="10"/>
        <rFont val="Arial"/>
        <family val="2"/>
      </rPr>
      <t xml:space="preserve"> 200 მკრ.</t>
    </r>
    <r>
      <rPr>
        <sz val="10"/>
        <rFont val="Arial"/>
        <family val="2"/>
      </rPr>
      <t xml:space="preserve"> ფირით  (არსებული ვიტრაჟების და 24სთ ზონაში კარების  გათვალისწინებით)</t>
    </r>
  </si>
  <si>
    <t>გარე პანდუსის მოწყობა შველერით #12</t>
  </si>
  <si>
    <t>მ</t>
  </si>
  <si>
    <t>ობიექტის გადაღებვა სხვადასხვა სამუშაოებისა და ავეჯის შეტანის შემდეგ</t>
  </si>
  <si>
    <t>სხვა და სხვა სამუშაოები და ხარჯები</t>
  </si>
  <si>
    <t>სამივლინებო ხარჯი (5 კაცი 45 დღე)</t>
  </si>
  <si>
    <t>კედლის  მოწყობა 15 სმ სისქის ბეტონის ბლოკით</t>
  </si>
  <si>
    <t>_ბეტონი ს ბლოკი</t>
  </si>
  <si>
    <t>_არმატურა Ф6АIII</t>
  </si>
  <si>
    <t>_ქვიშა</t>
  </si>
  <si>
    <t>_ცემენტი</t>
  </si>
  <si>
    <t>ბეტონის სარტყლის მოწყობა ბლოკის კედელზე (15*15სმ)</t>
  </si>
  <si>
    <t>_დახერხილი ხის მასალა (ფიცარი 200*40 მმ)</t>
  </si>
  <si>
    <t>_დამხმარე მასალები (ლურსმანი, შემკრავი მავთული, მჭიმები და სხვა)</t>
  </si>
  <si>
    <t>კედლების , ტიხრები</t>
  </si>
  <si>
    <t>სალაროს გადახურვა 40მმ ფიცრით</t>
  </si>
  <si>
    <t>ჭერების არმირება Ø-6მმ არმატურით ბადით  (სალარო)</t>
  </si>
  <si>
    <t>კედლების შელესვა М-100 მარკის ცემენტის ხსნარით, ნალესის სისქე  35მმ-მდე</t>
  </si>
  <si>
    <t xml:space="preserve">ტიხრების მოწყობა უბრალო  თაბაშირმუყაოს 12 მმ სისქის ფილებით,  კნაუფის პროფილების კარკასზე ბიჯით 60სმ </t>
  </si>
  <si>
    <t xml:space="preserve">კედლების  შეფუთვა უბრალო თაბაშირმუყაოს 12 მმ სისქის ფილით, კნაუფის პროფილების, კარკასზე ბიჯით 60სმ </t>
  </si>
  <si>
    <t>სალაროს ხონჩის დაფა (კვარცის მასალით, თეთრი)</t>
  </si>
  <si>
    <t>გათბობა, კონდეცირება ვენტილაცია</t>
  </si>
  <si>
    <t>10 მმ სისქის შუშის მონტაჟი დემონტირებული კარის ადგილზე, იატაკზე ალუმინის პროფილის მოწყობით</t>
  </si>
  <si>
    <t xml:space="preserve">მთავარი შემოსასვლელი სლაიდური შუშის ორფრთიანი კარის ფოტოელემენტზე მომუშავე მექანიზმის  ღირებულება და მონტაჟი </t>
  </si>
  <si>
    <t>სამუშაოების წარმოების ვადა განისაზღვროს 45 სამუშაო დღით</t>
  </si>
  <si>
    <t xml:space="preserve">ჭერის მოწყობა 60*60სმ არმსტრონგის ფილებით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</si>
</sst>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#,##0.0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vertAlign val="superscript"/>
      <sz val="10"/>
      <name val="Arial"/>
      <family val="2"/>
    </font>
    <font>
      <sz val="10"/>
      <name val="AcadNusx"/>
    </font>
    <font>
      <vertAlign val="superscript"/>
      <sz val="10"/>
      <name val="AcadNusx"/>
    </font>
    <font>
      <sz val="10"/>
      <name val="Qwerty"/>
    </font>
    <font>
      <b/>
      <sz val="10"/>
      <color indexed="8"/>
      <name val="AcadMtav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0"/>
  </cellStyleXfs>
  <cellXfs count="84">
    <xf numFmtId="0" fontId="0" fillId="0" borderId="0" xfId="0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2" fillId="0" borderId="0" xfId="0" applyFont="1"/>
    <xf numFmtId="2" fontId="2" fillId="0" borderId="0" xfId="0" applyNumberFormat="1" applyFont="1"/>
    <xf numFmtId="14" fontId="1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/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4" fontId="9" fillId="0" borderId="8" xfId="2" applyNumberFormat="1" applyBorder="1" applyAlignment="1">
      <alignment horizontal="center" vertical="center"/>
    </xf>
    <xf numFmtId="0" fontId="16" fillId="0" borderId="7" xfId="2" applyFont="1" applyBorder="1" applyAlignment="1">
      <alignment horizontal="left" vertical="center" wrapText="1"/>
    </xf>
    <xf numFmtId="0" fontId="9" fillId="0" borderId="7" xfId="3" applyBorder="1" applyAlignment="1">
      <alignment horizontal="left" vertical="center" wrapText="1"/>
    </xf>
    <xf numFmtId="0" fontId="9" fillId="0" borderId="8" xfId="3" applyBorder="1" applyAlignment="1">
      <alignment horizontal="center" vertical="center" wrapText="1"/>
    </xf>
    <xf numFmtId="9" fontId="9" fillId="4" borderId="12" xfId="9" applyFont="1" applyFill="1" applyBorder="1" applyAlignment="1">
      <alignment horizontal="right" vertical="center" wrapText="1"/>
    </xf>
    <xf numFmtId="2" fontId="13" fillId="4" borderId="13" xfId="8" applyNumberFormat="1" applyFont="1" applyFill="1" applyBorder="1" applyAlignment="1">
      <alignment horizontal="left" vertical="center"/>
    </xf>
    <xf numFmtId="9" fontId="9" fillId="4" borderId="14" xfId="9" applyFont="1" applyFill="1" applyBorder="1" applyAlignment="1">
      <alignment horizontal="right" vertical="center" wrapText="1"/>
    </xf>
    <xf numFmtId="2" fontId="13" fillId="4" borderId="0" xfId="8" applyNumberFormat="1" applyFont="1" applyFill="1" applyAlignment="1">
      <alignment horizontal="right" vertical="center"/>
    </xf>
    <xf numFmtId="9" fontId="9" fillId="4" borderId="12" xfId="11" applyFont="1" applyFill="1" applyBorder="1" applyAlignment="1">
      <alignment horizontal="right" vertical="center" wrapText="1"/>
    </xf>
    <xf numFmtId="2" fontId="13" fillId="4" borderId="13" xfId="10" applyNumberFormat="1" applyFont="1" applyFill="1" applyBorder="1" applyAlignment="1">
      <alignment horizontal="left" vertical="center"/>
    </xf>
    <xf numFmtId="164" fontId="9" fillId="4" borderId="14" xfId="10" applyNumberFormat="1" applyFont="1" applyFill="1" applyBorder="1" applyAlignment="1">
      <alignment horizontal="right" vertical="center" wrapText="1"/>
    </xf>
    <xf numFmtId="2" fontId="13" fillId="4" borderId="0" xfId="10" applyNumberFormat="1" applyFont="1" applyFill="1" applyAlignment="1">
      <alignment horizontal="right" vertical="center"/>
    </xf>
    <xf numFmtId="9" fontId="9" fillId="4" borderId="15" xfId="13" applyFont="1" applyFill="1" applyBorder="1" applyAlignment="1">
      <alignment horizontal="right" vertical="center" wrapText="1"/>
    </xf>
    <xf numFmtId="2" fontId="13" fillId="4" borderId="11" xfId="12" applyNumberFormat="1" applyFont="1" applyFill="1" applyBorder="1" applyAlignment="1">
      <alignment horizontal="left" vertical="center"/>
    </xf>
    <xf numFmtId="2" fontId="13" fillId="2" borderId="11" xfId="12" applyNumberFormat="1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4" fontId="18" fillId="4" borderId="8" xfId="0" applyNumberFormat="1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1" fontId="2" fillId="5" borderId="8" xfId="0" applyNumberFormat="1" applyFont="1" applyFill="1" applyBorder="1" applyAlignment="1">
      <alignment horizontal="center" vertic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5" borderId="9" xfId="0" applyNumberFormat="1" applyFont="1" applyFill="1" applyBorder="1" applyAlignment="1">
      <alignment vertical="center"/>
    </xf>
    <xf numFmtId="165" fontId="13" fillId="4" borderId="13" xfId="8" applyNumberFormat="1" applyFont="1" applyFill="1" applyBorder="1" applyAlignment="1">
      <alignment horizontal="left" vertical="center"/>
    </xf>
    <xf numFmtId="165" fontId="13" fillId="4" borderId="0" xfId="8" applyNumberFormat="1" applyFont="1" applyFill="1" applyAlignment="1">
      <alignment horizontal="right" vertical="center"/>
    </xf>
    <xf numFmtId="165" fontId="13" fillId="4" borderId="13" xfId="10" applyNumberFormat="1" applyFont="1" applyFill="1" applyBorder="1" applyAlignment="1">
      <alignment horizontal="left" vertical="center"/>
    </xf>
    <xf numFmtId="165" fontId="13" fillId="4" borderId="0" xfId="10" applyNumberFormat="1" applyFont="1" applyFill="1" applyAlignment="1">
      <alignment horizontal="right" vertical="center"/>
    </xf>
    <xf numFmtId="165" fontId="13" fillId="4" borderId="10" xfId="12" applyNumberFormat="1" applyFont="1" applyFill="1" applyBorder="1" applyAlignment="1">
      <alignment horizontal="left" vertical="center"/>
    </xf>
    <xf numFmtId="165" fontId="13" fillId="2" borderId="11" xfId="12" applyNumberFormat="1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4" fontId="9" fillId="6" borderId="8" xfId="2" applyNumberFormat="1" applyFill="1" applyBorder="1" applyAlignment="1">
      <alignment horizontal="center" vertical="center"/>
    </xf>
    <xf numFmtId="4" fontId="9" fillId="7" borderId="8" xfId="2" applyNumberForma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2" fillId="7" borderId="8" xfId="0" applyNumberFormat="1" applyFont="1" applyFill="1" applyBorder="1" applyAlignment="1">
      <alignment horizontal="center" vertical="center"/>
    </xf>
    <xf numFmtId="0" fontId="16" fillId="6" borderId="7" xfId="2" applyFont="1" applyFill="1" applyBorder="1" applyAlignment="1">
      <alignment horizontal="left" vertical="center" wrapText="1"/>
    </xf>
    <xf numFmtId="165" fontId="2" fillId="6" borderId="8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9" fillId="0" borderId="7" xfId="1" applyFont="1" applyBorder="1" applyAlignment="1">
      <alignment horizontal="left" vertical="center" wrapText="1"/>
    </xf>
    <xf numFmtId="0" fontId="9" fillId="0" borderId="7" xfId="14" applyFont="1" applyBorder="1" applyAlignment="1">
      <alignment horizontal="left" vertical="center" wrapText="1"/>
    </xf>
    <xf numFmtId="0" fontId="9" fillId="0" borderId="7" xfId="2" applyBorder="1" applyAlignment="1">
      <alignment vertical="center" wrapText="1"/>
    </xf>
    <xf numFmtId="0" fontId="9" fillId="0" borderId="7" xfId="1" applyFont="1" applyBorder="1" applyAlignment="1">
      <alignment horizontal="left" vertical="center"/>
    </xf>
    <xf numFmtId="0" fontId="18" fillId="4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9" fillId="7" borderId="7" xfId="1" applyFont="1" applyFill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2" fontId="13" fillId="2" borderId="11" xfId="12" applyNumberFormat="1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6">
    <cellStyle name="Normal" xfId="0" builtinId="0"/>
    <cellStyle name="Normal 2" xfId="14" xr:uid="{00000000-0005-0000-0000-000001000000}"/>
    <cellStyle name="Normal 2 2" xfId="1" xr:uid="{00000000-0005-0000-0000-000002000000}"/>
    <cellStyle name="Normal 3" xfId="2" xr:uid="{00000000-0005-0000-0000-000003000000}"/>
    <cellStyle name="Normal 4" xfId="15" xr:uid="{00000000-0005-0000-0000-000004000000}"/>
    <cellStyle name="Normal 5" xfId="4" xr:uid="{00000000-0005-0000-0000-000005000000}"/>
    <cellStyle name="Normal 60" xfId="6" xr:uid="{00000000-0005-0000-0000-000006000000}"/>
    <cellStyle name="Normal 61" xfId="8" xr:uid="{00000000-0005-0000-0000-000007000000}"/>
    <cellStyle name="Normal 62" xfId="10" xr:uid="{00000000-0005-0000-0000-000008000000}"/>
    <cellStyle name="Normal 63" xfId="12" xr:uid="{00000000-0005-0000-0000-000009000000}"/>
    <cellStyle name="Normal_Sheet1" xfId="3" xr:uid="{00000000-0005-0000-0000-00000A000000}"/>
    <cellStyle name="Percent 2" xfId="5" xr:uid="{00000000-0005-0000-0000-00000B000000}"/>
    <cellStyle name="Percent 3" xfId="7" xr:uid="{00000000-0005-0000-0000-00000C000000}"/>
    <cellStyle name="Percent 4" xfId="9" xr:uid="{00000000-0005-0000-0000-00000D000000}"/>
    <cellStyle name="Percent 5" xfId="11" xr:uid="{00000000-0005-0000-0000-00000E000000}"/>
    <cellStyle name="Percent 6" xfId="13" xr:uid="{00000000-0005-0000-0000-00000F000000}"/>
  </cellStyles>
  <dxfs count="0"/>
  <tableStyles count="0" defaultTableStyle="TableStyleMedium2" defaultPivotStyle="PivotStyleMedium9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73"/>
  <sheetViews>
    <sheetView tabSelected="1" topLeftCell="A28" workbookViewId="0">
      <selection activeCell="B31" sqref="B31"/>
    </sheetView>
  </sheetViews>
  <sheetFormatPr defaultColWidth="9.1796875" defaultRowHeight="13"/>
  <cols>
    <col min="1" max="1" width="4.1796875" style="49" customWidth="1"/>
    <col min="2" max="2" width="42" style="6" customWidth="1"/>
    <col min="3" max="3" width="6.26953125" style="6" customWidth="1"/>
    <col min="4" max="4" width="6.26953125" style="7" customWidth="1"/>
    <col min="5" max="5" width="11" style="7" bestFit="1" customWidth="1"/>
    <col min="6" max="6" width="10.1796875" style="7" bestFit="1" customWidth="1"/>
    <col min="7" max="7" width="11" style="7" bestFit="1" customWidth="1"/>
    <col min="8" max="8" width="9.81640625" style="7" bestFit="1" customWidth="1"/>
    <col min="9" max="9" width="11.81640625" style="7" bestFit="1" customWidth="1"/>
    <col min="10" max="10" width="0" style="6" hidden="1" customWidth="1"/>
    <col min="11" max="11" width="10" style="6" hidden="1" customWidth="1"/>
    <col min="12" max="13" width="0" style="6" hidden="1" customWidth="1"/>
    <col min="14" max="14" width="10" style="6" hidden="1" customWidth="1"/>
    <col min="15" max="16" width="0" style="6" hidden="1" customWidth="1"/>
    <col min="17" max="16384" width="9.1796875" style="6"/>
  </cols>
  <sheetData>
    <row r="2" spans="1:23">
      <c r="A2" s="6"/>
      <c r="B2" s="1" t="s">
        <v>0</v>
      </c>
      <c r="C2" s="2"/>
      <c r="D2" s="3"/>
      <c r="E2" s="4"/>
      <c r="F2" s="5"/>
    </row>
    <row r="3" spans="1:23">
      <c r="A3" s="6"/>
      <c r="B3" s="79" t="s">
        <v>32</v>
      </c>
      <c r="C3" s="79"/>
      <c r="D3" s="79"/>
      <c r="E3" s="79"/>
      <c r="F3" s="5"/>
      <c r="G3" s="80" t="s">
        <v>1</v>
      </c>
      <c r="H3" s="80"/>
    </row>
    <row r="4" spans="1:23" ht="13.5" thickBot="1">
      <c r="A4" s="6"/>
      <c r="B4" s="81" t="s">
        <v>45</v>
      </c>
      <c r="C4" s="81"/>
      <c r="D4" s="6"/>
      <c r="E4" s="6"/>
      <c r="F4" s="8"/>
      <c r="G4" s="82" t="s">
        <v>46</v>
      </c>
      <c r="H4" s="82"/>
      <c r="I4" s="7">
        <f>I70</f>
        <v>0</v>
      </c>
      <c r="K4" s="83" t="s">
        <v>37</v>
      </c>
      <c r="L4" s="83"/>
      <c r="M4" s="37" t="s">
        <v>38</v>
      </c>
      <c r="N4" s="37" t="s">
        <v>39</v>
      </c>
      <c r="O4" s="6">
        <f>4*75</f>
        <v>300</v>
      </c>
      <c r="P4" s="6" t="e">
        <f>O4/#REF!</f>
        <v>#REF!</v>
      </c>
    </row>
    <row r="5" spans="1:23" s="9" customFormat="1" ht="26.25" customHeight="1" thickTop="1" thickBot="1">
      <c r="A5" s="75" t="s">
        <v>2</v>
      </c>
      <c r="B5" s="76" t="s">
        <v>3</v>
      </c>
      <c r="C5" s="77" t="s">
        <v>4</v>
      </c>
      <c r="D5" s="77" t="s">
        <v>5</v>
      </c>
      <c r="E5" s="72" t="s">
        <v>6</v>
      </c>
      <c r="F5" s="72"/>
      <c r="G5" s="72" t="s">
        <v>7</v>
      </c>
      <c r="H5" s="72"/>
      <c r="I5" s="73" t="s">
        <v>8</v>
      </c>
      <c r="K5" s="39" t="s">
        <v>40</v>
      </c>
      <c r="M5" s="39" t="s">
        <v>41</v>
      </c>
      <c r="O5" s="9">
        <v>200</v>
      </c>
    </row>
    <row r="6" spans="1:23" s="9" customFormat="1" ht="26.25" customHeight="1" thickTop="1" thickBot="1">
      <c r="A6" s="75"/>
      <c r="B6" s="76"/>
      <c r="C6" s="78"/>
      <c r="D6" s="78"/>
      <c r="E6" s="48" t="s">
        <v>9</v>
      </c>
      <c r="F6" s="48" t="s">
        <v>10</v>
      </c>
      <c r="G6" s="48" t="s">
        <v>9</v>
      </c>
      <c r="H6" s="48" t="s">
        <v>10</v>
      </c>
      <c r="I6" s="74"/>
      <c r="K6" s="39" t="s">
        <v>43</v>
      </c>
      <c r="L6" s="9">
        <f>442*2.8</f>
        <v>1237.5999999999999</v>
      </c>
      <c r="P6" s="9" t="e">
        <f>L6/#REF!</f>
        <v>#REF!</v>
      </c>
    </row>
    <row r="7" spans="1:23" ht="13.5" thickTop="1">
      <c r="A7" s="10"/>
      <c r="B7" s="10"/>
      <c r="C7" s="10"/>
      <c r="D7" s="10"/>
      <c r="E7" s="10"/>
      <c r="F7" s="10"/>
      <c r="G7" s="10"/>
      <c r="H7" s="10"/>
      <c r="I7" s="10"/>
      <c r="P7" s="6" t="e">
        <f>SUM(P4:P6)</f>
        <v>#REF!</v>
      </c>
    </row>
    <row r="8" spans="1:23" ht="15.5">
      <c r="A8" s="70">
        <v>1</v>
      </c>
      <c r="B8" s="58" t="s">
        <v>81</v>
      </c>
      <c r="C8" s="34"/>
      <c r="D8" s="35"/>
      <c r="E8" s="14"/>
      <c r="F8" s="14"/>
      <c r="G8" s="14"/>
      <c r="H8" s="14"/>
      <c r="I8" s="14">
        <f t="shared" ref="I8:I34" si="0">F8+H8</f>
        <v>0</v>
      </c>
    </row>
    <row r="9" spans="1:23" ht="25">
      <c r="A9" s="36">
        <v>2</v>
      </c>
      <c r="B9" s="60" t="s">
        <v>73</v>
      </c>
      <c r="C9" s="13" t="s">
        <v>22</v>
      </c>
      <c r="D9" s="14">
        <v>54.4</v>
      </c>
      <c r="E9" s="14"/>
      <c r="F9" s="14"/>
      <c r="G9" s="14"/>
      <c r="H9" s="14"/>
      <c r="I9" s="14">
        <f t="shared" si="0"/>
        <v>0</v>
      </c>
      <c r="K9" s="6">
        <f>12.5*1.3</f>
        <v>16.25</v>
      </c>
      <c r="L9" s="6">
        <v>1.25</v>
      </c>
      <c r="M9" s="6">
        <f>L9*13</f>
        <v>16.25</v>
      </c>
      <c r="W9" s="6">
        <f>55*0.03</f>
        <v>1.65</v>
      </c>
    </row>
    <row r="10" spans="1:23" ht="15.5">
      <c r="A10" s="70">
        <v>3</v>
      </c>
      <c r="B10" s="60" t="s">
        <v>74</v>
      </c>
      <c r="C10" s="50" t="s">
        <v>12</v>
      </c>
      <c r="D10" s="14">
        <f>D9*13</f>
        <v>707.19999999999993</v>
      </c>
      <c r="E10" s="14"/>
      <c r="F10" s="14"/>
      <c r="G10" s="14"/>
      <c r="H10" s="14"/>
      <c r="I10" s="14">
        <f t="shared" si="0"/>
        <v>0</v>
      </c>
    </row>
    <row r="11" spans="1:23">
      <c r="A11" s="36">
        <v>4</v>
      </c>
      <c r="B11" s="60" t="s">
        <v>75</v>
      </c>
      <c r="C11" s="13" t="s">
        <v>69</v>
      </c>
      <c r="D11" s="14">
        <v>144</v>
      </c>
      <c r="E11" s="14"/>
      <c r="F11" s="14"/>
      <c r="G11" s="14"/>
      <c r="H11" s="14"/>
      <c r="I11" s="14">
        <f t="shared" si="0"/>
        <v>0</v>
      </c>
    </row>
    <row r="12" spans="1:23" ht="15.5">
      <c r="A12" s="70">
        <v>5</v>
      </c>
      <c r="B12" s="60" t="s">
        <v>76</v>
      </c>
      <c r="C12" s="13" t="s">
        <v>47</v>
      </c>
      <c r="D12" s="14">
        <v>3</v>
      </c>
      <c r="E12" s="14"/>
      <c r="F12" s="14"/>
      <c r="G12" s="14"/>
      <c r="H12" s="14"/>
      <c r="I12" s="14">
        <f t="shared" si="0"/>
        <v>0</v>
      </c>
    </row>
    <row r="13" spans="1:23">
      <c r="A13" s="36">
        <v>6</v>
      </c>
      <c r="B13" s="60" t="s">
        <v>77</v>
      </c>
      <c r="C13" s="13" t="s">
        <v>49</v>
      </c>
      <c r="D13" s="14">
        <f>D12*0.4</f>
        <v>1.2000000000000002</v>
      </c>
      <c r="E13" s="14"/>
      <c r="F13" s="14"/>
      <c r="G13" s="14"/>
      <c r="H13" s="14"/>
      <c r="I13" s="14">
        <f t="shared" si="0"/>
        <v>0</v>
      </c>
      <c r="W13" s="6">
        <f>1000/40</f>
        <v>25</v>
      </c>
    </row>
    <row r="14" spans="1:23" ht="25">
      <c r="A14" s="70">
        <v>7</v>
      </c>
      <c r="B14" s="60" t="s">
        <v>51</v>
      </c>
      <c r="C14" s="13" t="s">
        <v>27</v>
      </c>
      <c r="D14" s="14">
        <v>1</v>
      </c>
      <c r="E14" s="14"/>
      <c r="F14" s="14"/>
      <c r="G14" s="14"/>
      <c r="H14" s="14"/>
      <c r="I14" s="14">
        <f t="shared" si="0"/>
        <v>0</v>
      </c>
      <c r="S14" s="38"/>
    </row>
    <row r="15" spans="1:23" ht="25">
      <c r="A15" s="36">
        <v>8</v>
      </c>
      <c r="B15" s="60" t="s">
        <v>78</v>
      </c>
      <c r="C15" s="13" t="s">
        <v>17</v>
      </c>
      <c r="D15" s="14">
        <v>13.6</v>
      </c>
      <c r="E15" s="14"/>
      <c r="F15" s="14"/>
      <c r="G15" s="14"/>
      <c r="H15" s="14"/>
      <c r="I15" s="14">
        <f t="shared" si="0"/>
        <v>0</v>
      </c>
    </row>
    <row r="16" spans="1:23" ht="15.5">
      <c r="A16" s="70">
        <v>9</v>
      </c>
      <c r="B16" s="60" t="s">
        <v>50</v>
      </c>
      <c r="C16" s="50" t="s">
        <v>47</v>
      </c>
      <c r="D16" s="14">
        <f>D15*0.15*0.15</f>
        <v>0.30599999999999999</v>
      </c>
      <c r="E16" s="14"/>
      <c r="F16" s="14"/>
      <c r="G16" s="14"/>
      <c r="H16" s="14"/>
      <c r="I16" s="14">
        <f t="shared" si="0"/>
        <v>0</v>
      </c>
    </row>
    <row r="17" spans="1:19">
      <c r="A17" s="36">
        <v>10</v>
      </c>
      <c r="B17" s="60" t="s">
        <v>48</v>
      </c>
      <c r="C17" s="13" t="s">
        <v>69</v>
      </c>
      <c r="D17" s="14">
        <f>D15*4</f>
        <v>54.4</v>
      </c>
      <c r="E17" s="14"/>
      <c r="F17" s="14"/>
      <c r="G17" s="14"/>
      <c r="H17" s="14"/>
      <c r="I17" s="14">
        <f t="shared" si="0"/>
        <v>0</v>
      </c>
    </row>
    <row r="18" spans="1:19" ht="15.5">
      <c r="A18" s="70">
        <v>11</v>
      </c>
      <c r="B18" s="60" t="s">
        <v>79</v>
      </c>
      <c r="C18" s="13" t="s">
        <v>47</v>
      </c>
      <c r="D18" s="14">
        <v>0.2</v>
      </c>
      <c r="E18" s="14"/>
      <c r="F18" s="14"/>
      <c r="G18" s="14"/>
      <c r="H18" s="14"/>
      <c r="I18" s="14">
        <f t="shared" si="0"/>
        <v>0</v>
      </c>
      <c r="S18" s="37"/>
    </row>
    <row r="19" spans="1:19" ht="25">
      <c r="A19" s="36">
        <v>12</v>
      </c>
      <c r="B19" s="60" t="s">
        <v>80</v>
      </c>
      <c r="C19" s="13" t="s">
        <v>27</v>
      </c>
      <c r="D19" s="14">
        <v>1</v>
      </c>
      <c r="E19" s="14"/>
      <c r="F19" s="14"/>
      <c r="G19" s="14"/>
      <c r="H19" s="14"/>
      <c r="I19" s="14">
        <f t="shared" si="0"/>
        <v>0</v>
      </c>
    </row>
    <row r="20" spans="1:19" ht="25">
      <c r="A20" s="70">
        <v>13</v>
      </c>
      <c r="B20" s="60" t="s">
        <v>29</v>
      </c>
      <c r="C20" s="13" t="s">
        <v>22</v>
      </c>
      <c r="D20" s="14">
        <f>D9</f>
        <v>54.4</v>
      </c>
      <c r="E20" s="14"/>
      <c r="F20" s="14"/>
      <c r="G20" s="14"/>
      <c r="H20" s="14"/>
      <c r="I20" s="14">
        <f t="shared" si="0"/>
        <v>0</v>
      </c>
    </row>
    <row r="21" spans="1:19" ht="25">
      <c r="A21" s="36">
        <v>14</v>
      </c>
      <c r="B21" s="61" t="s">
        <v>84</v>
      </c>
      <c r="C21" s="13" t="s">
        <v>22</v>
      </c>
      <c r="D21" s="14">
        <f>D20</f>
        <v>54.4</v>
      </c>
      <c r="E21" s="14"/>
      <c r="F21" s="14"/>
      <c r="G21" s="14"/>
      <c r="H21" s="14"/>
      <c r="I21" s="14">
        <f t="shared" si="0"/>
        <v>0</v>
      </c>
    </row>
    <row r="22" spans="1:19" ht="37.5">
      <c r="A22" s="70">
        <v>15</v>
      </c>
      <c r="B22" s="59" t="s">
        <v>85</v>
      </c>
      <c r="C22" s="13" t="s">
        <v>22</v>
      </c>
      <c r="D22" s="14">
        <v>117.2</v>
      </c>
      <c r="E22" s="14"/>
      <c r="F22" s="14"/>
      <c r="G22" s="14"/>
      <c r="H22" s="14"/>
      <c r="I22" s="14">
        <f t="shared" si="0"/>
        <v>0</v>
      </c>
      <c r="J22" s="6">
        <f>15*1.3</f>
        <v>19.5</v>
      </c>
      <c r="K22" s="6">
        <f>13.5*2/3+11.2/3+0.035*10+0.037*4</f>
        <v>13.231333333333332</v>
      </c>
      <c r="L22" s="6">
        <f>17.3/3*4</f>
        <v>23.066666666666666</v>
      </c>
      <c r="M22" s="6">
        <f>SUM(K22:L22)</f>
        <v>36.298000000000002</v>
      </c>
    </row>
    <row r="23" spans="1:19" ht="14.5">
      <c r="A23" s="36">
        <v>16</v>
      </c>
      <c r="B23" s="62" t="s">
        <v>52</v>
      </c>
      <c r="C23" s="13" t="s">
        <v>22</v>
      </c>
      <c r="D23" s="14">
        <v>80</v>
      </c>
      <c r="E23" s="14"/>
      <c r="F23" s="14"/>
      <c r="G23" s="14"/>
      <c r="H23" s="14"/>
      <c r="I23" s="14">
        <f t="shared" si="0"/>
        <v>0</v>
      </c>
      <c r="K23" s="6">
        <f>60/9</f>
        <v>6.666666666666667</v>
      </c>
      <c r="M23" s="6">
        <f>53/18</f>
        <v>2.9444444444444446</v>
      </c>
    </row>
    <row r="24" spans="1:19" ht="37.5">
      <c r="A24" s="70">
        <v>17</v>
      </c>
      <c r="B24" s="59" t="s">
        <v>86</v>
      </c>
      <c r="C24" s="13" t="s">
        <v>22</v>
      </c>
      <c r="D24" s="14">
        <v>61.8</v>
      </c>
      <c r="E24" s="14"/>
      <c r="F24" s="14"/>
      <c r="G24" s="14"/>
      <c r="H24" s="14"/>
      <c r="I24" s="14">
        <f t="shared" si="0"/>
        <v>0</v>
      </c>
      <c r="J24" s="6">
        <f>17.5*2/3</f>
        <v>11.666666666666666</v>
      </c>
      <c r="K24" s="6">
        <f>5.7/3+8*2/3</f>
        <v>7.2333333333333334</v>
      </c>
    </row>
    <row r="25" spans="1:19" ht="62.5">
      <c r="A25" s="36">
        <v>18</v>
      </c>
      <c r="B25" s="59" t="s">
        <v>61</v>
      </c>
      <c r="C25" s="29" t="s">
        <v>17</v>
      </c>
      <c r="D25" s="14">
        <v>25</v>
      </c>
      <c r="E25" s="14"/>
      <c r="F25" s="14"/>
      <c r="G25" s="14"/>
      <c r="H25" s="14"/>
      <c r="I25" s="14">
        <f t="shared" si="0"/>
        <v>0</v>
      </c>
    </row>
    <row r="26" spans="1:19" ht="51">
      <c r="A26" s="70">
        <v>19</v>
      </c>
      <c r="B26" s="59" t="s">
        <v>33</v>
      </c>
      <c r="C26" s="13" t="s">
        <v>22</v>
      </c>
      <c r="D26" s="14">
        <v>562.64</v>
      </c>
      <c r="E26" s="14"/>
      <c r="F26" s="14"/>
      <c r="G26" s="14"/>
      <c r="H26" s="14"/>
      <c r="I26" s="14">
        <f t="shared" si="0"/>
        <v>0</v>
      </c>
    </row>
    <row r="27" spans="1:19">
      <c r="A27" s="36">
        <v>20</v>
      </c>
      <c r="B27" s="59"/>
      <c r="C27" s="13"/>
      <c r="D27" s="14"/>
      <c r="E27" s="14"/>
      <c r="F27" s="14"/>
      <c r="G27" s="14"/>
      <c r="H27" s="14"/>
      <c r="I27" s="14">
        <f t="shared" si="0"/>
        <v>0</v>
      </c>
    </row>
    <row r="28" spans="1:19" ht="15.5">
      <c r="A28" s="70">
        <v>21</v>
      </c>
      <c r="B28" s="58" t="s">
        <v>63</v>
      </c>
      <c r="C28" s="34"/>
      <c r="D28" s="35"/>
      <c r="E28" s="14"/>
      <c r="F28" s="14"/>
      <c r="G28" s="14"/>
      <c r="H28" s="14"/>
      <c r="I28" s="14">
        <f t="shared" si="0"/>
        <v>0</v>
      </c>
    </row>
    <row r="29" spans="1:19">
      <c r="A29" s="36">
        <v>22</v>
      </c>
      <c r="B29" s="59" t="s">
        <v>82</v>
      </c>
      <c r="C29" s="14" t="s">
        <v>26</v>
      </c>
      <c r="D29" s="14">
        <v>11</v>
      </c>
      <c r="E29" s="14"/>
      <c r="F29" s="14"/>
      <c r="G29" s="14"/>
      <c r="H29" s="14"/>
      <c r="I29" s="14">
        <f t="shared" si="0"/>
        <v>0</v>
      </c>
    </row>
    <row r="30" spans="1:19" ht="25">
      <c r="A30" s="70">
        <v>23</v>
      </c>
      <c r="B30" s="60" t="s">
        <v>83</v>
      </c>
      <c r="C30" s="14" t="s">
        <v>26</v>
      </c>
      <c r="D30" s="14">
        <v>11</v>
      </c>
      <c r="E30" s="14"/>
      <c r="F30" s="14"/>
      <c r="G30" s="14"/>
      <c r="H30" s="14"/>
      <c r="I30" s="14">
        <f t="shared" si="0"/>
        <v>0</v>
      </c>
    </row>
    <row r="31" spans="1:19" ht="38" customHeight="1">
      <c r="A31" s="70">
        <v>24</v>
      </c>
      <c r="B31" s="60" t="s">
        <v>92</v>
      </c>
      <c r="C31" s="14" t="s">
        <v>26</v>
      </c>
      <c r="D31" s="14">
        <v>130</v>
      </c>
      <c r="E31" s="14"/>
      <c r="F31" s="14"/>
      <c r="G31" s="14"/>
      <c r="H31" s="14"/>
      <c r="I31" s="14">
        <f t="shared" si="0"/>
        <v>0</v>
      </c>
    </row>
    <row r="32" spans="1:19" ht="63">
      <c r="A32" s="70">
        <v>25</v>
      </c>
      <c r="B32" s="59" t="s">
        <v>62</v>
      </c>
      <c r="C32" s="13" t="s">
        <v>22</v>
      </c>
      <c r="D32" s="14">
        <v>32.770000000000003</v>
      </c>
      <c r="E32" s="14"/>
      <c r="F32" s="14"/>
      <c r="G32" s="14"/>
      <c r="H32" s="14"/>
      <c r="I32" s="14">
        <f t="shared" si="0"/>
        <v>0</v>
      </c>
    </row>
    <row r="33" spans="1:22" ht="37.5">
      <c r="A33" s="36">
        <v>26</v>
      </c>
      <c r="B33" s="59" t="s">
        <v>34</v>
      </c>
      <c r="C33" s="13" t="s">
        <v>24</v>
      </c>
      <c r="D33" s="14">
        <v>120</v>
      </c>
      <c r="E33" s="14"/>
      <c r="F33" s="14"/>
      <c r="G33" s="14"/>
      <c r="H33" s="14"/>
      <c r="I33" s="14">
        <f t="shared" si="0"/>
        <v>0</v>
      </c>
      <c r="M33" s="6" t="e">
        <f>#REF!*0.62/1000</f>
        <v>#REF!</v>
      </c>
      <c r="N33" s="6" t="e">
        <f>M33*28</f>
        <v>#REF!</v>
      </c>
    </row>
    <row r="34" spans="1:22" ht="37.5">
      <c r="A34" s="70">
        <v>27</v>
      </c>
      <c r="B34" s="16" t="s">
        <v>53</v>
      </c>
      <c r="C34" s="13" t="s">
        <v>22</v>
      </c>
      <c r="D34" s="14">
        <v>4</v>
      </c>
      <c r="E34" s="14"/>
      <c r="F34" s="14"/>
      <c r="G34" s="14"/>
      <c r="H34" s="14"/>
      <c r="I34" s="14">
        <f t="shared" si="0"/>
        <v>0</v>
      </c>
    </row>
    <row r="35" spans="1:22">
      <c r="A35" s="36">
        <v>28</v>
      </c>
      <c r="B35" s="58" t="s">
        <v>25</v>
      </c>
      <c r="C35" s="34"/>
      <c r="D35" s="35"/>
      <c r="E35" s="14"/>
      <c r="F35" s="14"/>
      <c r="G35" s="14"/>
      <c r="H35" s="14"/>
      <c r="I35" s="14"/>
    </row>
    <row r="36" spans="1:22" ht="15.5">
      <c r="A36" s="70">
        <v>29</v>
      </c>
      <c r="B36" s="59" t="s">
        <v>54</v>
      </c>
      <c r="C36" s="13" t="s">
        <v>22</v>
      </c>
      <c r="D36" s="14">
        <v>8.4</v>
      </c>
      <c r="E36" s="14"/>
      <c r="F36" s="14"/>
      <c r="G36" s="14"/>
      <c r="H36" s="14"/>
      <c r="I36" s="14">
        <f t="shared" ref="I36:I39" si="1">F36+H36</f>
        <v>0</v>
      </c>
    </row>
    <row r="37" spans="1:22" ht="38">
      <c r="A37" s="36">
        <v>30</v>
      </c>
      <c r="B37" s="59" t="s">
        <v>64</v>
      </c>
      <c r="C37" s="13" t="s">
        <v>22</v>
      </c>
      <c r="D37" s="14">
        <v>8.4</v>
      </c>
      <c r="E37" s="14"/>
      <c r="F37" s="14"/>
      <c r="G37" s="14"/>
      <c r="H37" s="14"/>
      <c r="I37" s="14">
        <f t="shared" si="1"/>
        <v>0</v>
      </c>
    </row>
    <row r="38" spans="1:22" ht="62.5">
      <c r="A38" s="70">
        <v>31</v>
      </c>
      <c r="B38" s="59" t="s">
        <v>35</v>
      </c>
      <c r="C38" s="13" t="s">
        <v>22</v>
      </c>
      <c r="D38" s="14">
        <v>35.020000000000003</v>
      </c>
      <c r="E38" s="14"/>
      <c r="F38" s="14"/>
      <c r="G38" s="14"/>
      <c r="H38" s="14"/>
      <c r="I38" s="14">
        <f t="shared" si="1"/>
        <v>0</v>
      </c>
    </row>
    <row r="39" spans="1:22" ht="25">
      <c r="A39" s="36">
        <v>32</v>
      </c>
      <c r="B39" s="59" t="s">
        <v>30</v>
      </c>
      <c r="C39" s="13" t="s">
        <v>24</v>
      </c>
      <c r="D39" s="12">
        <v>117</v>
      </c>
      <c r="E39" s="14"/>
      <c r="F39" s="14"/>
      <c r="G39" s="14"/>
      <c r="H39" s="14"/>
      <c r="I39" s="14">
        <f t="shared" si="1"/>
        <v>0</v>
      </c>
    </row>
    <row r="40" spans="1:22" ht="15.5">
      <c r="A40" s="70">
        <v>33</v>
      </c>
      <c r="B40" s="58" t="s">
        <v>11</v>
      </c>
      <c r="C40" s="34"/>
      <c r="D40" s="35"/>
      <c r="E40" s="14"/>
      <c r="F40" s="14"/>
      <c r="G40" s="14"/>
      <c r="H40" s="14"/>
      <c r="I40" s="14"/>
      <c r="K40" s="37" t="s">
        <v>42</v>
      </c>
    </row>
    <row r="41" spans="1:22" ht="37.5">
      <c r="A41" s="36">
        <v>34</v>
      </c>
      <c r="B41" s="63" t="s">
        <v>55</v>
      </c>
      <c r="C41" s="11" t="s">
        <v>12</v>
      </c>
      <c r="D41" s="31">
        <v>1</v>
      </c>
      <c r="E41" s="14"/>
      <c r="F41" s="14"/>
      <c r="G41" s="14"/>
      <c r="H41" s="14"/>
      <c r="I41" s="14">
        <f t="shared" ref="I41:I53" si="2">F41+H41</f>
        <v>0</v>
      </c>
      <c r="M41" s="6">
        <f>450*2.8</f>
        <v>1260</v>
      </c>
      <c r="N41" s="6">
        <f>M41/D42</f>
        <v>1260</v>
      </c>
    </row>
    <row r="42" spans="1:22" ht="37.5">
      <c r="A42" s="70">
        <v>35</v>
      </c>
      <c r="B42" s="63" t="s">
        <v>56</v>
      </c>
      <c r="C42" s="30" t="s">
        <v>12</v>
      </c>
      <c r="D42" s="31">
        <v>1</v>
      </c>
      <c r="E42" s="14"/>
      <c r="F42" s="14"/>
      <c r="G42" s="14"/>
      <c r="H42" s="14"/>
      <c r="I42" s="14">
        <f t="shared" si="2"/>
        <v>0</v>
      </c>
      <c r="K42" s="6">
        <f>268*2.8</f>
        <v>750.4</v>
      </c>
      <c r="L42" s="6">
        <f>1847/D42</f>
        <v>1847</v>
      </c>
      <c r="N42" s="6">
        <f>1.61/1.2</f>
        <v>1.3416666666666668</v>
      </c>
    </row>
    <row r="43" spans="1:22" ht="25">
      <c r="A43" s="36">
        <v>36</v>
      </c>
      <c r="B43" s="64" t="s">
        <v>31</v>
      </c>
      <c r="C43" s="11" t="s">
        <v>12</v>
      </c>
      <c r="D43" s="51">
        <v>1</v>
      </c>
      <c r="E43" s="14"/>
      <c r="F43" s="14"/>
      <c r="G43" s="14"/>
      <c r="H43" s="14"/>
      <c r="I43" s="14">
        <f t="shared" si="2"/>
        <v>0</v>
      </c>
      <c r="K43" s="6">
        <v>35</v>
      </c>
      <c r="L43" s="6">
        <v>1.5</v>
      </c>
    </row>
    <row r="44" spans="1:22" ht="25">
      <c r="A44" s="70">
        <v>37</v>
      </c>
      <c r="B44" s="64" t="s">
        <v>87</v>
      </c>
      <c r="C44" s="50" t="s">
        <v>12</v>
      </c>
      <c r="D44" s="51">
        <v>1.6</v>
      </c>
      <c r="E44" s="14"/>
      <c r="F44" s="14"/>
      <c r="G44" s="14"/>
      <c r="H44" s="14"/>
      <c r="I44" s="14">
        <f t="shared" si="2"/>
        <v>0</v>
      </c>
      <c r="V44" s="37"/>
    </row>
    <row r="45" spans="1:22" ht="37.5">
      <c r="A45" s="36">
        <v>38</v>
      </c>
      <c r="B45" s="59" t="s">
        <v>57</v>
      </c>
      <c r="C45" s="50" t="s">
        <v>12</v>
      </c>
      <c r="D45" s="12">
        <v>5</v>
      </c>
      <c r="E45" s="14"/>
      <c r="F45" s="14"/>
      <c r="G45" s="14"/>
      <c r="H45" s="14"/>
      <c r="I45" s="14">
        <f t="shared" si="2"/>
        <v>0</v>
      </c>
    </row>
    <row r="46" spans="1:22" ht="25">
      <c r="A46" s="70">
        <v>39</v>
      </c>
      <c r="B46" s="65" t="s">
        <v>65</v>
      </c>
      <c r="C46" s="54" t="s">
        <v>26</v>
      </c>
      <c r="D46" s="55">
        <v>0</v>
      </c>
      <c r="E46" s="53"/>
      <c r="F46" s="53"/>
      <c r="G46" s="53"/>
      <c r="H46" s="53"/>
      <c r="I46" s="53">
        <f t="shared" si="2"/>
        <v>0</v>
      </c>
    </row>
    <row r="47" spans="1:22" ht="37.5">
      <c r="A47" s="36">
        <v>40</v>
      </c>
      <c r="B47" s="59" t="s">
        <v>90</v>
      </c>
      <c r="C47" s="50" t="s">
        <v>12</v>
      </c>
      <c r="D47" s="12">
        <v>1</v>
      </c>
      <c r="E47" s="14"/>
      <c r="F47" s="14"/>
      <c r="G47" s="14"/>
      <c r="H47" s="14"/>
      <c r="I47" s="14">
        <f t="shared" si="2"/>
        <v>0</v>
      </c>
      <c r="K47" s="6">
        <f>150*1.3</f>
        <v>195</v>
      </c>
    </row>
    <row r="48" spans="1:22" ht="25">
      <c r="A48" s="70">
        <v>41</v>
      </c>
      <c r="B48" s="16" t="s">
        <v>66</v>
      </c>
      <c r="C48" s="13" t="s">
        <v>22</v>
      </c>
      <c r="D48" s="14">
        <v>12.6</v>
      </c>
      <c r="E48" s="14"/>
      <c r="F48" s="14"/>
      <c r="G48" s="14"/>
      <c r="H48" s="14"/>
      <c r="I48" s="14">
        <f t="shared" si="2"/>
        <v>0</v>
      </c>
      <c r="L48" s="6">
        <f>15*2.8*1.3</f>
        <v>54.6</v>
      </c>
    </row>
    <row r="49" spans="1:14" ht="25">
      <c r="A49" s="36">
        <v>42</v>
      </c>
      <c r="B49" s="66" t="s">
        <v>59</v>
      </c>
      <c r="C49" s="13" t="s">
        <v>26</v>
      </c>
      <c r="D49" s="32">
        <v>8.1999999999999993</v>
      </c>
      <c r="E49" s="14"/>
      <c r="F49" s="14"/>
      <c r="G49" s="14"/>
      <c r="H49" s="14"/>
      <c r="I49" s="14">
        <f t="shared" si="2"/>
        <v>0</v>
      </c>
      <c r="K49" s="38"/>
    </row>
    <row r="50" spans="1:14" ht="37.5">
      <c r="A50" s="70">
        <v>43</v>
      </c>
      <c r="B50" s="66" t="s">
        <v>89</v>
      </c>
      <c r="C50" s="13" t="s">
        <v>26</v>
      </c>
      <c r="D50" s="32">
        <v>12.6</v>
      </c>
      <c r="E50" s="14"/>
      <c r="F50" s="14"/>
      <c r="G50" s="14"/>
      <c r="H50" s="14"/>
      <c r="I50" s="14">
        <f t="shared" si="2"/>
        <v>0</v>
      </c>
      <c r="K50" s="38"/>
    </row>
    <row r="51" spans="1:14" ht="37.5">
      <c r="A51" s="36">
        <v>44</v>
      </c>
      <c r="B51" s="16" t="s">
        <v>58</v>
      </c>
      <c r="C51" s="13" t="s">
        <v>27</v>
      </c>
      <c r="D51" s="14">
        <v>4</v>
      </c>
      <c r="E51" s="14"/>
      <c r="F51" s="14"/>
      <c r="G51" s="14"/>
      <c r="H51" s="14"/>
      <c r="I51" s="14">
        <f t="shared" si="2"/>
        <v>0</v>
      </c>
    </row>
    <row r="52" spans="1:14" ht="25">
      <c r="A52" s="70">
        <v>45</v>
      </c>
      <c r="B52" s="59" t="s">
        <v>60</v>
      </c>
      <c r="C52" s="11" t="s">
        <v>17</v>
      </c>
      <c r="D52" s="12"/>
      <c r="E52" s="14"/>
      <c r="F52" s="14"/>
      <c r="G52" s="14"/>
      <c r="H52" s="14"/>
      <c r="I52" s="14">
        <f t="shared" si="2"/>
        <v>0</v>
      </c>
      <c r="K52" s="6">
        <v>300</v>
      </c>
      <c r="L52" s="6">
        <v>200</v>
      </c>
      <c r="N52" s="6">
        <f>35*0.2</f>
        <v>7</v>
      </c>
    </row>
    <row r="53" spans="1:14" ht="38">
      <c r="A53" s="36">
        <v>46</v>
      </c>
      <c r="B53" s="16" t="s">
        <v>67</v>
      </c>
      <c r="C53" s="13" t="s">
        <v>22</v>
      </c>
      <c r="D53" s="14">
        <v>45.03</v>
      </c>
      <c r="E53" s="14"/>
      <c r="F53" s="14"/>
      <c r="G53" s="14"/>
      <c r="H53" s="14"/>
      <c r="I53" s="14">
        <f t="shared" si="2"/>
        <v>0</v>
      </c>
      <c r="K53" s="37">
        <f>22*2.8</f>
        <v>61.599999999999994</v>
      </c>
      <c r="L53" s="37" t="s">
        <v>36</v>
      </c>
      <c r="N53" s="6">
        <f>35/1.5</f>
        <v>23.333333333333332</v>
      </c>
    </row>
    <row r="54" spans="1:14" ht="15.5">
      <c r="A54" s="70">
        <v>47</v>
      </c>
      <c r="B54" s="67" t="s">
        <v>28</v>
      </c>
      <c r="C54" s="35"/>
      <c r="D54" s="35"/>
      <c r="E54" s="14"/>
      <c r="F54" s="14"/>
      <c r="G54" s="14"/>
      <c r="H54" s="14"/>
      <c r="I54" s="14"/>
    </row>
    <row r="55" spans="1:14">
      <c r="A55" s="36">
        <v>48</v>
      </c>
      <c r="B55" s="59" t="s">
        <v>68</v>
      </c>
      <c r="C55" s="33" t="s">
        <v>17</v>
      </c>
      <c r="D55" s="12">
        <v>2</v>
      </c>
      <c r="E55" s="14"/>
      <c r="F55" s="14"/>
      <c r="G55" s="14"/>
      <c r="H55" s="14"/>
      <c r="I55" s="14">
        <f>F55+H55</f>
        <v>0</v>
      </c>
      <c r="K55" s="6">
        <f>170*0.4</f>
        <v>68</v>
      </c>
      <c r="L55" s="6">
        <f>2.07*14</f>
        <v>28.979999999999997</v>
      </c>
      <c r="M55" s="6">
        <f>SUM(K55:L55)</f>
        <v>96.97999999999999</v>
      </c>
    </row>
    <row r="56" spans="1:14" ht="15.5">
      <c r="A56" s="70">
        <v>49</v>
      </c>
      <c r="B56" s="58" t="s">
        <v>16</v>
      </c>
      <c r="C56" s="34"/>
      <c r="D56" s="35"/>
      <c r="E56" s="14"/>
      <c r="F56" s="14"/>
      <c r="G56" s="14"/>
      <c r="H56" s="14"/>
      <c r="I56" s="14"/>
      <c r="K56" s="37" t="s">
        <v>44</v>
      </c>
    </row>
    <row r="57" spans="1:14">
      <c r="A57" s="36">
        <v>50</v>
      </c>
      <c r="B57" s="68"/>
      <c r="C57" s="71"/>
      <c r="D57" s="71"/>
      <c r="E57" s="14"/>
      <c r="F57" s="14"/>
      <c r="G57" s="14"/>
      <c r="H57" s="14"/>
      <c r="I57" s="14"/>
      <c r="K57" s="37"/>
    </row>
    <row r="58" spans="1:14" ht="15.5">
      <c r="A58" s="70">
        <v>51</v>
      </c>
      <c r="B58" s="58" t="s">
        <v>88</v>
      </c>
      <c r="C58" s="34"/>
      <c r="D58" s="35"/>
      <c r="E58" s="14"/>
      <c r="F58" s="14"/>
      <c r="G58" s="14"/>
      <c r="H58" s="14"/>
      <c r="I58" s="14"/>
      <c r="K58" s="37"/>
    </row>
    <row r="59" spans="1:14">
      <c r="A59" s="36">
        <v>52</v>
      </c>
      <c r="B59" s="68"/>
      <c r="C59" s="71"/>
      <c r="D59" s="71"/>
      <c r="E59" s="14"/>
      <c r="F59" s="14"/>
      <c r="G59" s="14"/>
      <c r="H59" s="14"/>
      <c r="I59" s="14"/>
      <c r="K59" s="37"/>
    </row>
    <row r="60" spans="1:14" ht="15.5">
      <c r="A60" s="70">
        <v>53</v>
      </c>
      <c r="B60" s="58" t="s">
        <v>71</v>
      </c>
      <c r="C60" s="34"/>
      <c r="D60" s="41"/>
      <c r="E60" s="14"/>
      <c r="F60" s="14"/>
      <c r="G60" s="14"/>
      <c r="H60" s="14"/>
      <c r="I60" s="14"/>
    </row>
    <row r="61" spans="1:14" ht="29">
      <c r="A61" s="36">
        <v>54</v>
      </c>
      <c r="B61" s="15" t="s">
        <v>70</v>
      </c>
      <c r="C61" s="50" t="s">
        <v>26</v>
      </c>
      <c r="D61" s="14">
        <v>562.64</v>
      </c>
      <c r="E61" s="14"/>
      <c r="F61" s="14"/>
      <c r="G61" s="14"/>
      <c r="H61" s="14"/>
      <c r="I61" s="14">
        <f t="shared" ref="I61:I64" si="3">F61+H61</f>
        <v>0</v>
      </c>
      <c r="K61" s="6">
        <v>27</v>
      </c>
      <c r="M61" s="6">
        <f>18*27/17</f>
        <v>28.588235294117649</v>
      </c>
    </row>
    <row r="62" spans="1:14" ht="25">
      <c r="A62" s="70">
        <v>55</v>
      </c>
      <c r="B62" s="56" t="s">
        <v>72</v>
      </c>
      <c r="C62" s="17" t="s">
        <v>15</v>
      </c>
      <c r="D62" s="57">
        <v>225</v>
      </c>
      <c r="E62" s="52"/>
      <c r="F62" s="52"/>
      <c r="G62" s="52"/>
      <c r="H62" s="52"/>
      <c r="I62" s="52">
        <f t="shared" si="3"/>
        <v>0</v>
      </c>
      <c r="K62" s="6">
        <v>6.2</v>
      </c>
      <c r="L62" s="6">
        <f>H62/28</f>
        <v>0</v>
      </c>
      <c r="M62" s="6">
        <f>28*65</f>
        <v>1820</v>
      </c>
      <c r="N62" s="6">
        <f>M62/D62</f>
        <v>8.0888888888888886</v>
      </c>
    </row>
    <row r="63" spans="1:14" ht="46">
      <c r="A63" s="36">
        <v>56</v>
      </c>
      <c r="B63" s="15" t="s">
        <v>23</v>
      </c>
      <c r="C63" s="50" t="s">
        <v>47</v>
      </c>
      <c r="D63" s="40">
        <v>30</v>
      </c>
      <c r="E63" s="14"/>
      <c r="F63" s="14"/>
      <c r="G63" s="14"/>
      <c r="H63" s="14"/>
      <c r="I63" s="14">
        <f t="shared" si="3"/>
        <v>0</v>
      </c>
      <c r="M63" s="6">
        <f>7.6/4</f>
        <v>1.9</v>
      </c>
    </row>
    <row r="64" spans="1:14" ht="25.5" thickBot="1">
      <c r="A64" s="70">
        <v>57</v>
      </c>
      <c r="B64" s="16" t="s">
        <v>14</v>
      </c>
      <c r="C64" s="17" t="s">
        <v>15</v>
      </c>
      <c r="D64" s="40">
        <v>45</v>
      </c>
      <c r="E64" s="14"/>
      <c r="F64" s="14"/>
      <c r="G64" s="14"/>
      <c r="H64" s="14"/>
      <c r="I64" s="14">
        <f t="shared" si="3"/>
        <v>0</v>
      </c>
    </row>
    <row r="65" spans="1:11">
      <c r="A65" s="36">
        <v>64</v>
      </c>
      <c r="B65" s="19" t="s">
        <v>18</v>
      </c>
      <c r="C65" s="18">
        <v>0.08</v>
      </c>
      <c r="D65" s="42"/>
      <c r="E65" s="14"/>
      <c r="F65" s="14"/>
      <c r="G65" s="14"/>
      <c r="H65" s="14"/>
      <c r="I65" s="14">
        <f>I64*C65</f>
        <v>0</v>
      </c>
    </row>
    <row r="66" spans="1:11" ht="16" thickBot="1">
      <c r="A66" s="70">
        <v>65</v>
      </c>
      <c r="B66" s="21" t="s">
        <v>13</v>
      </c>
      <c r="C66" s="20"/>
      <c r="D66" s="43"/>
      <c r="E66" s="14"/>
      <c r="F66" s="14"/>
      <c r="G66" s="14"/>
      <c r="H66" s="14"/>
      <c r="I66" s="14">
        <f>I64+I65</f>
        <v>0</v>
      </c>
    </row>
    <row r="67" spans="1:11">
      <c r="A67" s="36">
        <v>66</v>
      </c>
      <c r="B67" s="23" t="s">
        <v>19</v>
      </c>
      <c r="C67" s="22">
        <v>0.05</v>
      </c>
      <c r="D67" s="44"/>
      <c r="E67" s="14"/>
      <c r="F67" s="14"/>
      <c r="G67" s="14"/>
      <c r="H67" s="14"/>
      <c r="I67" s="14">
        <f>SUM(I66*C67)</f>
        <v>0</v>
      </c>
    </row>
    <row r="68" spans="1:11" ht="16" thickBot="1">
      <c r="A68" s="70">
        <v>67</v>
      </c>
      <c r="B68" s="25" t="s">
        <v>13</v>
      </c>
      <c r="C68" s="24"/>
      <c r="D68" s="45"/>
      <c r="E68" s="14"/>
      <c r="F68" s="14"/>
      <c r="G68" s="14"/>
      <c r="H68" s="14"/>
      <c r="I68" s="14">
        <f>SUM(I66+I67)</f>
        <v>0</v>
      </c>
    </row>
    <row r="69" spans="1:11" ht="13.5" thickBot="1">
      <c r="A69" s="36">
        <v>68</v>
      </c>
      <c r="B69" s="27" t="s">
        <v>20</v>
      </c>
      <c r="C69" s="26">
        <v>0.18</v>
      </c>
      <c r="D69" s="46"/>
      <c r="E69" s="14"/>
      <c r="F69" s="14"/>
      <c r="G69" s="14"/>
      <c r="H69" s="14"/>
      <c r="I69" s="14">
        <f>SUM(I68*C69)</f>
        <v>0</v>
      </c>
    </row>
    <row r="70" spans="1:11" ht="16" thickBot="1">
      <c r="A70" s="70">
        <v>69</v>
      </c>
      <c r="B70" s="69" t="s">
        <v>21</v>
      </c>
      <c r="C70" s="28"/>
      <c r="D70" s="47"/>
      <c r="E70" s="14"/>
      <c r="F70" s="14"/>
      <c r="G70" s="14"/>
      <c r="H70" s="14"/>
      <c r="I70" s="14">
        <f>SUM(I68+I69)</f>
        <v>0</v>
      </c>
      <c r="K70" s="6">
        <f>I70/2.8</f>
        <v>0</v>
      </c>
    </row>
    <row r="72" spans="1:11">
      <c r="I72" s="7">
        <f>I70/163</f>
        <v>0</v>
      </c>
      <c r="J72" s="7">
        <f t="shared" ref="J72:K72" si="4">J70/163</f>
        <v>0</v>
      </c>
      <c r="K72" s="7">
        <f t="shared" si="4"/>
        <v>0</v>
      </c>
    </row>
    <row r="73" spans="1:11">
      <c r="B73" s="37" t="s">
        <v>91</v>
      </c>
    </row>
  </sheetData>
  <mergeCells count="12">
    <mergeCell ref="B3:E3"/>
    <mergeCell ref="G3:H3"/>
    <mergeCell ref="B4:C4"/>
    <mergeCell ref="G4:H4"/>
    <mergeCell ref="K4:L4"/>
    <mergeCell ref="G5:H5"/>
    <mergeCell ref="I5:I6"/>
    <mergeCell ref="A5:A6"/>
    <mergeCell ref="B5:B6"/>
    <mergeCell ref="C5:C6"/>
    <mergeCell ref="D5:D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ბათუმი ძველი ვიტრინით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2023-10-16T12:45:16Z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6c7ad2-60a5-409e-8203-10f940b19acd_Enabled">
    <vt:lpwstr>true</vt:lpwstr>
  </property>
  <property fmtid="{D5CDD505-2E9C-101B-9397-08002B2CF9AE}" pid="3" name="MSIP_Label_706c7ad2-60a5-409e-8203-10f940b19acd_SetDate">
    <vt:lpwstr>2022-11-16T06:41:45Z</vt:lpwstr>
  </property>
  <property fmtid="{D5CDD505-2E9C-101B-9397-08002B2CF9AE}" pid="4" name="MSIP_Label_706c7ad2-60a5-409e-8203-10f940b19acd_Method">
    <vt:lpwstr>Standard</vt:lpwstr>
  </property>
  <property fmtid="{D5CDD505-2E9C-101B-9397-08002B2CF9AE}" pid="5" name="MSIP_Label_706c7ad2-60a5-409e-8203-10f940b19acd_Name">
    <vt:lpwstr>For internal use only C1</vt:lpwstr>
  </property>
  <property fmtid="{D5CDD505-2E9C-101B-9397-08002B2CF9AE}" pid="6" name="MSIP_Label_706c7ad2-60a5-409e-8203-10f940b19acd_SiteId">
    <vt:lpwstr>91e167b0-e7f3-47d0-b08e-ac1e6b839fc3</vt:lpwstr>
  </property>
  <property fmtid="{D5CDD505-2E9C-101B-9397-08002B2CF9AE}" pid="7" name="MSIP_Label_706c7ad2-60a5-409e-8203-10f940b19acd_ActionId">
    <vt:lpwstr>a1ce5bba-0b09-44bb-8957-31cde4911f55</vt:lpwstr>
  </property>
  <property fmtid="{D5CDD505-2E9C-101B-9397-08002B2CF9AE}" pid="8" name="MSIP_Label_706c7ad2-60a5-409e-8203-10f940b19acd_ContentBits">
    <vt:lpwstr>2</vt:lpwstr>
  </property>
</Properties>
</file>