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/>
  <mc:AlternateContent xmlns:mc="http://schemas.openxmlformats.org/markup-compatibility/2006">
    <mc:Choice Requires="x15">
      <x15ac:absPath xmlns:x15ac="http://schemas.microsoft.com/office/spreadsheetml/2010/11/ac" url="D:\აკაკი\სმარტ ბილდერი\ენერჯი გლდანი\"/>
    </mc:Choice>
  </mc:AlternateContent>
  <xr:revisionPtr revIDLastSave="0" documentId="8_{494B27B9-1DF6-4B7D-AC05-C62C67ADD1E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F22" i="1"/>
  <c r="F29" i="1" s="1"/>
  <c r="H266" i="1"/>
  <c r="M266" i="1" s="1"/>
  <c r="H265" i="1"/>
  <c r="M265" i="1" s="1"/>
  <c r="M264" i="1"/>
  <c r="F263" i="1"/>
  <c r="J263" i="1" s="1"/>
  <c r="M263" i="1" s="1"/>
  <c r="M262" i="1"/>
  <c r="F261" i="1"/>
  <c r="H261" i="1" s="1"/>
  <c r="M261" i="1" s="1"/>
  <c r="M260" i="1"/>
  <c r="F259" i="1"/>
  <c r="M258" i="1"/>
  <c r="F257" i="1"/>
  <c r="M256" i="1"/>
  <c r="F255" i="1"/>
  <c r="M254" i="1"/>
  <c r="F253" i="1"/>
  <c r="H253" i="1" s="1"/>
  <c r="M253" i="1" s="1"/>
  <c r="M252" i="1"/>
  <c r="F251" i="1"/>
  <c r="M250" i="1"/>
  <c r="F249" i="1"/>
  <c r="H249" i="1" s="1"/>
  <c r="M249" i="1" s="1"/>
  <c r="F248" i="1"/>
  <c r="F247" i="1"/>
  <c r="E246" i="1"/>
  <c r="F246" i="1" s="1"/>
  <c r="D246" i="1"/>
  <c r="M245" i="1"/>
  <c r="F244" i="1"/>
  <c r="L244" i="1" s="1"/>
  <c r="M244" i="1" s="1"/>
  <c r="F243" i="1"/>
  <c r="F241" i="1"/>
  <c r="H241" i="1" s="1"/>
  <c r="M241" i="1" s="1"/>
  <c r="F240" i="1"/>
  <c r="F239" i="1"/>
  <c r="E238" i="1"/>
  <c r="F238" i="1" s="1"/>
  <c r="D238" i="1"/>
  <c r="M237" i="1"/>
  <c r="F236" i="1"/>
  <c r="L236" i="1" s="1"/>
  <c r="M236" i="1" s="1"/>
  <c r="F235" i="1"/>
  <c r="F227" i="1"/>
  <c r="F229" i="1" s="1"/>
  <c r="L229" i="1" s="1"/>
  <c r="M229" i="1" s="1"/>
  <c r="E232" i="1"/>
  <c r="E231" i="1"/>
  <c r="M230" i="1"/>
  <c r="F226" i="1"/>
  <c r="F225" i="1"/>
  <c r="F224" i="1"/>
  <c r="F223" i="1"/>
  <c r="F222" i="1"/>
  <c r="F221" i="1"/>
  <c r="F220" i="1"/>
  <c r="F219" i="1"/>
  <c r="F218" i="1"/>
  <c r="M217" i="1"/>
  <c r="F216" i="1"/>
  <c r="H240" i="1" l="1"/>
  <c r="M240" i="1" s="1"/>
  <c r="H257" i="1"/>
  <c r="M257" i="1" s="1"/>
  <c r="J251" i="1"/>
  <c r="M251" i="1" s="1"/>
  <c r="H224" i="1"/>
  <c r="M224" i="1" s="1"/>
  <c r="J243" i="1"/>
  <c r="M243" i="1" s="1"/>
  <c r="J255" i="1"/>
  <c r="M255" i="1" s="1"/>
  <c r="J259" i="1"/>
  <c r="M259" i="1" s="1"/>
  <c r="H225" i="1"/>
  <c r="M225" i="1" s="1"/>
  <c r="H219" i="1"/>
  <c r="M219" i="1" s="1"/>
  <c r="H239" i="1"/>
  <c r="M239" i="1" s="1"/>
  <c r="H248" i="1"/>
  <c r="M248" i="1" s="1"/>
  <c r="H247" i="1"/>
  <c r="M247" i="1" s="1"/>
  <c r="H238" i="1"/>
  <c r="M238" i="1" s="1"/>
  <c r="H246" i="1"/>
  <c r="M246" i="1" s="1"/>
  <c r="J235" i="1"/>
  <c r="M235" i="1" s="1"/>
  <c r="H226" i="1"/>
  <c r="M226" i="1" s="1"/>
  <c r="H221" i="1"/>
  <c r="M221" i="1" s="1"/>
  <c r="F231" i="1"/>
  <c r="H231" i="1" s="1"/>
  <c r="M231" i="1" s="1"/>
  <c r="H222" i="1"/>
  <c r="M222" i="1" s="1"/>
  <c r="F233" i="1"/>
  <c r="H233" i="1" s="1"/>
  <c r="M233" i="1" s="1"/>
  <c r="H220" i="1"/>
  <c r="M220" i="1" s="1"/>
  <c r="F232" i="1"/>
  <c r="H232" i="1" s="1"/>
  <c r="M232" i="1" s="1"/>
  <c r="H223" i="1"/>
  <c r="M223" i="1" s="1"/>
  <c r="H218" i="1"/>
  <c r="M218" i="1" s="1"/>
  <c r="J216" i="1"/>
  <c r="M216" i="1" s="1"/>
  <c r="F228" i="1"/>
  <c r="J228" i="1" s="1"/>
  <c r="M228" i="1" s="1"/>
  <c r="F199" i="1" l="1"/>
  <c r="F200" i="1" s="1"/>
  <c r="M212" i="1"/>
  <c r="M206" i="1"/>
  <c r="E202" i="1"/>
  <c r="M201" i="1"/>
  <c r="M163" i="1"/>
  <c r="E160" i="1"/>
  <c r="E159" i="1"/>
  <c r="M158" i="1"/>
  <c r="F155" i="1"/>
  <c r="F157" i="1" s="1"/>
  <c r="L157" i="1" s="1"/>
  <c r="M157" i="1" s="1"/>
  <c r="F154" i="1"/>
  <c r="H154" i="1" s="1"/>
  <c r="M154" i="1" s="1"/>
  <c r="F152" i="1"/>
  <c r="M151" i="1"/>
  <c r="F150" i="1"/>
  <c r="L150" i="1" s="1"/>
  <c r="M150" i="1" s="1"/>
  <c r="F149" i="1"/>
  <c r="J149" i="1" s="1"/>
  <c r="M149" i="1" s="1"/>
  <c r="F190" i="1"/>
  <c r="F196" i="1" s="1"/>
  <c r="M193" i="1"/>
  <c r="E182" i="1"/>
  <c r="F179" i="1"/>
  <c r="F183" i="1" s="1"/>
  <c r="M186" i="1"/>
  <c r="F178" i="1"/>
  <c r="F177" i="1"/>
  <c r="E176" i="1"/>
  <c r="F176" i="1" s="1"/>
  <c r="M175" i="1"/>
  <c r="F174" i="1"/>
  <c r="L174" i="1" s="1"/>
  <c r="M174" i="1" s="1"/>
  <c r="F173" i="1"/>
  <c r="H152" i="1" l="1"/>
  <c r="M152" i="1" s="1"/>
  <c r="F202" i="1"/>
  <c r="H202" i="1" s="1"/>
  <c r="M202" i="1" s="1"/>
  <c r="J200" i="1"/>
  <c r="M200" i="1" s="1"/>
  <c r="F203" i="1"/>
  <c r="F209" i="1" s="1"/>
  <c r="F213" i="1" s="1"/>
  <c r="H213" i="1" s="1"/>
  <c r="M213" i="1" s="1"/>
  <c r="F159" i="1"/>
  <c r="H159" i="1" s="1"/>
  <c r="M159" i="1" s="1"/>
  <c r="F160" i="1"/>
  <c r="H160" i="1" s="1"/>
  <c r="M160" i="1" s="1"/>
  <c r="F161" i="1"/>
  <c r="F167" i="1" s="1"/>
  <c r="H167" i="1" s="1"/>
  <c r="M167" i="1" s="1"/>
  <c r="F156" i="1"/>
  <c r="J156" i="1" s="1"/>
  <c r="M156" i="1" s="1"/>
  <c r="H196" i="1"/>
  <c r="M196" i="1" s="1"/>
  <c r="F153" i="1"/>
  <c r="H153" i="1" s="1"/>
  <c r="M153" i="1" s="1"/>
  <c r="F197" i="1"/>
  <c r="H197" i="1" s="1"/>
  <c r="M197" i="1" s="1"/>
  <c r="F192" i="1"/>
  <c r="L192" i="1" s="1"/>
  <c r="M192" i="1" s="1"/>
  <c r="F198" i="1"/>
  <c r="H198" i="1" s="1"/>
  <c r="M198" i="1" s="1"/>
  <c r="F195" i="1"/>
  <c r="H195" i="1" s="1"/>
  <c r="M195" i="1" s="1"/>
  <c r="F191" i="1"/>
  <c r="J191" i="1" s="1"/>
  <c r="M191" i="1" s="1"/>
  <c r="F194" i="1"/>
  <c r="H194" i="1" s="1"/>
  <c r="M194" i="1" s="1"/>
  <c r="H177" i="1"/>
  <c r="M177" i="1" s="1"/>
  <c r="H178" i="1"/>
  <c r="M178" i="1" s="1"/>
  <c r="J173" i="1"/>
  <c r="M173" i="1" s="1"/>
  <c r="H176" i="1"/>
  <c r="M176" i="1" s="1"/>
  <c r="F182" i="1"/>
  <c r="H182" i="1" s="1"/>
  <c r="M182" i="1" s="1"/>
  <c r="F180" i="1"/>
  <c r="J180" i="1" s="1"/>
  <c r="M180" i="1" s="1"/>
  <c r="F164" i="1" l="1"/>
  <c r="H164" i="1" s="1"/>
  <c r="M164" i="1" s="1"/>
  <c r="F170" i="1"/>
  <c r="H170" i="1" s="1"/>
  <c r="M170" i="1" s="1"/>
  <c r="F162" i="1"/>
  <c r="J162" i="1" s="1"/>
  <c r="M162" i="1" s="1"/>
  <c r="F168" i="1"/>
  <c r="H168" i="1" s="1"/>
  <c r="M168" i="1" s="1"/>
  <c r="F210" i="1"/>
  <c r="J210" i="1" s="1"/>
  <c r="M210" i="1" s="1"/>
  <c r="F211" i="1"/>
  <c r="L211" i="1" s="1"/>
  <c r="M211" i="1" s="1"/>
  <c r="F214" i="1"/>
  <c r="H214" i="1" s="1"/>
  <c r="M214" i="1" s="1"/>
  <c r="F166" i="1"/>
  <c r="H166" i="1" s="1"/>
  <c r="M166" i="1" s="1"/>
  <c r="F208" i="1"/>
  <c r="H208" i="1" s="1"/>
  <c r="M208" i="1" s="1"/>
  <c r="F204" i="1"/>
  <c r="J204" i="1" s="1"/>
  <c r="M204" i="1" s="1"/>
  <c r="F205" i="1"/>
  <c r="L205" i="1" s="1"/>
  <c r="M205" i="1" s="1"/>
  <c r="F207" i="1"/>
  <c r="H207" i="1" s="1"/>
  <c r="M207" i="1" s="1"/>
  <c r="F169" i="1"/>
  <c r="H169" i="1" s="1"/>
  <c r="M169" i="1" s="1"/>
  <c r="F165" i="1"/>
  <c r="H165" i="1" s="1"/>
  <c r="M165" i="1" s="1"/>
  <c r="F189" i="1"/>
  <c r="H189" i="1" s="1"/>
  <c r="M189" i="1" s="1"/>
  <c r="F188" i="1"/>
  <c r="H188" i="1" s="1"/>
  <c r="M188" i="1" s="1"/>
  <c r="F184" i="1"/>
  <c r="J184" i="1" s="1"/>
  <c r="M184" i="1" s="1"/>
  <c r="F185" i="1"/>
  <c r="L185" i="1" s="1"/>
  <c r="M185" i="1" s="1"/>
  <c r="F187" i="1"/>
  <c r="H187" i="1" s="1"/>
  <c r="M187" i="1" s="1"/>
  <c r="F171" i="1" l="1"/>
  <c r="H171" i="1" s="1"/>
  <c r="M171" i="1" s="1"/>
  <c r="F267" i="1" l="1"/>
  <c r="F140" i="1"/>
  <c r="F141" i="1" s="1"/>
  <c r="M142" i="1"/>
  <c r="M140" i="1"/>
  <c r="F124" i="1"/>
  <c r="F123" i="1"/>
  <c r="F119" i="1"/>
  <c r="F84" i="1"/>
  <c r="F81" i="1"/>
  <c r="E71" i="1"/>
  <c r="F79" i="1"/>
  <c r="B70" i="1"/>
  <c r="E76" i="1"/>
  <c r="M74" i="1"/>
  <c r="M70" i="1"/>
  <c r="F41" i="1"/>
  <c r="F36" i="1"/>
  <c r="F58" i="1"/>
  <c r="F46" i="1"/>
  <c r="B19" i="1"/>
  <c r="B22" i="1" s="1"/>
  <c r="F21" i="1"/>
  <c r="L21" i="1" s="1"/>
  <c r="M21" i="1" s="1"/>
  <c r="F20" i="1"/>
  <c r="M19" i="1"/>
  <c r="L269" i="1"/>
  <c r="M269" i="1" s="1"/>
  <c r="F143" i="1" l="1"/>
  <c r="H143" i="1" s="1"/>
  <c r="M143" i="1" s="1"/>
  <c r="J141" i="1"/>
  <c r="M141" i="1" s="1"/>
  <c r="F73" i="1"/>
  <c r="F76" i="1"/>
  <c r="F78" i="1"/>
  <c r="F72" i="1"/>
  <c r="F77" i="1"/>
  <c r="F80" i="1"/>
  <c r="F71" i="1"/>
  <c r="J20" i="1"/>
  <c r="M20" i="1" s="1"/>
  <c r="J85" i="1"/>
  <c r="M85" i="1" s="1"/>
  <c r="H90" i="1"/>
  <c r="M90" i="1" s="1"/>
  <c r="H89" i="1"/>
  <c r="M89" i="1" s="1"/>
  <c r="H88" i="1"/>
  <c r="M88" i="1" s="1"/>
  <c r="H79" i="1"/>
  <c r="M79" i="1" s="1"/>
  <c r="M146" i="1"/>
  <c r="M144" i="1"/>
  <c r="M138" i="1"/>
  <c r="M136" i="1"/>
  <c r="M134" i="1"/>
  <c r="M131" i="1"/>
  <c r="M129" i="1"/>
  <c r="M126" i="1"/>
  <c r="M122" i="1"/>
  <c r="M119" i="1"/>
  <c r="M117" i="1"/>
  <c r="M114" i="1"/>
  <c r="M108" i="1"/>
  <c r="M105" i="1"/>
  <c r="M100" i="1"/>
  <c r="M97" i="1"/>
  <c r="M95" i="1"/>
  <c r="M93" i="1"/>
  <c r="M87" i="1"/>
  <c r="M84" i="1"/>
  <c r="M82" i="1"/>
  <c r="M62" i="1"/>
  <c r="M58" i="1"/>
  <c r="M50" i="1"/>
  <c r="M46" i="1"/>
  <c r="M41" i="1"/>
  <c r="M36" i="1"/>
  <c r="L34" i="1"/>
  <c r="M34" i="1" s="1"/>
  <c r="M16" i="1"/>
  <c r="M22" i="1"/>
  <c r="M25" i="1"/>
  <c r="M29" i="1"/>
  <c r="L28" i="1"/>
  <c r="M28" i="1" s="1"/>
  <c r="J267" i="1"/>
  <c r="F139" i="1"/>
  <c r="H139" i="1" s="1"/>
  <c r="M139" i="1" s="1"/>
  <c r="F131" i="1"/>
  <c r="F135" i="1" s="1"/>
  <c r="F127" i="1"/>
  <c r="J127" i="1" s="1"/>
  <c r="M127" i="1" s="1"/>
  <c r="F114" i="1"/>
  <c r="F118" i="1" s="1"/>
  <c r="F92" i="1"/>
  <c r="H92" i="1" s="1"/>
  <c r="M92" i="1" s="1"/>
  <c r="F83" i="1"/>
  <c r="F60" i="1"/>
  <c r="E64" i="1"/>
  <c r="F47" i="1"/>
  <c r="F51" i="1" s="1"/>
  <c r="F42" i="1"/>
  <c r="E45" i="1"/>
  <c r="E40" i="1"/>
  <c r="F37" i="1"/>
  <c r="F33" i="1"/>
  <c r="F35" i="1" s="1"/>
  <c r="F24" i="1"/>
  <c r="L24" i="1" s="1"/>
  <c r="M24" i="1" s="1"/>
  <c r="F113" i="1"/>
  <c r="H113" i="1" s="1"/>
  <c r="M113" i="1" s="1"/>
  <c r="F112" i="1"/>
  <c r="F111" i="1"/>
  <c r="F109" i="1"/>
  <c r="F107" i="1"/>
  <c r="F106" i="1"/>
  <c r="F104" i="1"/>
  <c r="H104" i="1" s="1"/>
  <c r="M104" i="1" s="1"/>
  <c r="F103" i="1"/>
  <c r="F102" i="1"/>
  <c r="F101" i="1"/>
  <c r="F99" i="1"/>
  <c r="L99" i="1" s="1"/>
  <c r="M99" i="1" s="1"/>
  <c r="F98" i="1"/>
  <c r="J98" i="1" s="1"/>
  <c r="M98" i="1" s="1"/>
  <c r="E52" i="1"/>
  <c r="B33" i="1"/>
  <c r="B84" i="1" s="1"/>
  <c r="B93" i="1" s="1"/>
  <c r="B97" i="1" s="1"/>
  <c r="B105" i="1" s="1"/>
  <c r="B114" i="1" s="1"/>
  <c r="F27" i="1"/>
  <c r="L27" i="1" s="1"/>
  <c r="M27" i="1" s="1"/>
  <c r="F26" i="1"/>
  <c r="F18" i="1"/>
  <c r="L18" i="1" s="1"/>
  <c r="F17" i="1"/>
  <c r="J17" i="1" s="1"/>
  <c r="M17" i="1" l="1"/>
  <c r="H80" i="1"/>
  <c r="M80" i="1" s="1"/>
  <c r="H77" i="1"/>
  <c r="M77" i="1" s="1"/>
  <c r="B126" i="1"/>
  <c r="B131" i="1" s="1"/>
  <c r="B136" i="1" s="1"/>
  <c r="B140" i="1" s="1"/>
  <c r="B119" i="1"/>
  <c r="L72" i="1"/>
  <c r="M72" i="1" s="1"/>
  <c r="H78" i="1"/>
  <c r="M78" i="1" s="1"/>
  <c r="H76" i="1"/>
  <c r="M76" i="1" s="1"/>
  <c r="L73" i="1"/>
  <c r="M73" i="1" s="1"/>
  <c r="F75" i="1"/>
  <c r="H75" i="1" s="1"/>
  <c r="M75" i="1" s="1"/>
  <c r="J71" i="1"/>
  <c r="M71" i="1" s="1"/>
  <c r="H135" i="1"/>
  <c r="M135" i="1" s="1"/>
  <c r="J106" i="1"/>
  <c r="M106" i="1" s="1"/>
  <c r="H118" i="1"/>
  <c r="M118" i="1" s="1"/>
  <c r="L35" i="1"/>
  <c r="M35" i="1" s="1"/>
  <c r="L60" i="1"/>
  <c r="M60" i="1" s="1"/>
  <c r="L107" i="1"/>
  <c r="M107" i="1" s="1"/>
  <c r="J83" i="1"/>
  <c r="M83" i="1" s="1"/>
  <c r="H101" i="1"/>
  <c r="M101" i="1" s="1"/>
  <c r="H103" i="1"/>
  <c r="M103" i="1" s="1"/>
  <c r="H123" i="1"/>
  <c r="M123" i="1" s="1"/>
  <c r="L43" i="1"/>
  <c r="M43" i="1" s="1"/>
  <c r="H102" i="1"/>
  <c r="M102" i="1" s="1"/>
  <c r="H124" i="1"/>
  <c r="M124" i="1" s="1"/>
  <c r="H267" i="1"/>
  <c r="M267" i="1" s="1"/>
  <c r="J42" i="1"/>
  <c r="M42" i="1" s="1"/>
  <c r="J47" i="1"/>
  <c r="M47" i="1" s="1"/>
  <c r="H112" i="1"/>
  <c r="M112" i="1" s="1"/>
  <c r="H51" i="1"/>
  <c r="M51" i="1" s="1"/>
  <c r="H109" i="1"/>
  <c r="M109" i="1" s="1"/>
  <c r="H110" i="1"/>
  <c r="M110" i="1" s="1"/>
  <c r="H111" i="1"/>
  <c r="M111" i="1" s="1"/>
  <c r="M18" i="1"/>
  <c r="J37" i="1"/>
  <c r="M37" i="1" s="1"/>
  <c r="J26" i="1"/>
  <c r="M26" i="1" s="1"/>
  <c r="F137" i="1"/>
  <c r="J137" i="1" s="1"/>
  <c r="M137" i="1" s="1"/>
  <c r="L39" i="1"/>
  <c r="M39" i="1" s="1"/>
  <c r="F48" i="1"/>
  <c r="L48" i="1" s="1"/>
  <c r="M48" i="1" s="1"/>
  <c r="F56" i="1"/>
  <c r="H56" i="1" s="1"/>
  <c r="M56" i="1" s="1"/>
  <c r="F120" i="1"/>
  <c r="J120" i="1" s="1"/>
  <c r="M120" i="1" s="1"/>
  <c r="F68" i="1"/>
  <c r="H68" i="1" s="1"/>
  <c r="M68" i="1" s="1"/>
  <c r="F91" i="1"/>
  <c r="H91" i="1" s="1"/>
  <c r="M91" i="1" s="1"/>
  <c r="F93" i="1"/>
  <c r="F96" i="1" s="1"/>
  <c r="H96" i="1" s="1"/>
  <c r="M96" i="1" s="1"/>
  <c r="F86" i="1"/>
  <c r="L86" i="1" s="1"/>
  <c r="M86" i="1" s="1"/>
  <c r="F64" i="1"/>
  <c r="H64" i="1" s="1"/>
  <c r="M64" i="1" s="1"/>
  <c r="F66" i="1"/>
  <c r="H66" i="1" s="1"/>
  <c r="M66" i="1" s="1"/>
  <c r="F59" i="1"/>
  <c r="F67" i="1"/>
  <c r="H67" i="1" s="1"/>
  <c r="M67" i="1" s="1"/>
  <c r="F57" i="1"/>
  <c r="H57" i="1" s="1"/>
  <c r="M57" i="1" s="1"/>
  <c r="F65" i="1"/>
  <c r="H65" i="1" s="1"/>
  <c r="M65" i="1" s="1"/>
  <c r="F61" i="1"/>
  <c r="L61" i="1" s="1"/>
  <c r="M61" i="1" s="1"/>
  <c r="F45" i="1"/>
  <c r="H45" i="1" s="1"/>
  <c r="M45" i="1" s="1"/>
  <c r="L44" i="1"/>
  <c r="M44" i="1" s="1"/>
  <c r="F31" i="1"/>
  <c r="L31" i="1" s="1"/>
  <c r="F40" i="1"/>
  <c r="H40" i="1" s="1"/>
  <c r="F52" i="1"/>
  <c r="H52" i="1" s="1"/>
  <c r="M52" i="1" s="1"/>
  <c r="F53" i="1"/>
  <c r="H53" i="1" s="1"/>
  <c r="M53" i="1" s="1"/>
  <c r="B35" i="1"/>
  <c r="F49" i="1"/>
  <c r="L49" i="1" s="1"/>
  <c r="M49" i="1" s="1"/>
  <c r="F23" i="1"/>
  <c r="J23" i="1" s="1"/>
  <c r="M23" i="1" s="1"/>
  <c r="F128" i="1"/>
  <c r="L128" i="1" s="1"/>
  <c r="M128" i="1" s="1"/>
  <c r="F130" i="1"/>
  <c r="H130" i="1" s="1"/>
  <c r="M130" i="1" s="1"/>
  <c r="F132" i="1"/>
  <c r="J132" i="1" s="1"/>
  <c r="M132" i="1" s="1"/>
  <c r="F133" i="1"/>
  <c r="L133" i="1" s="1"/>
  <c r="M133" i="1" s="1"/>
  <c r="F55" i="1"/>
  <c r="H55" i="1" s="1"/>
  <c r="M55" i="1" s="1"/>
  <c r="B25" i="1"/>
  <c r="B28" i="1" s="1"/>
  <c r="F54" i="1"/>
  <c r="H54" i="1" s="1"/>
  <c r="M54" i="1" s="1"/>
  <c r="F115" i="1"/>
  <c r="J115" i="1" s="1"/>
  <c r="M115" i="1" s="1"/>
  <c r="F116" i="1"/>
  <c r="L116" i="1" s="1"/>
  <c r="M116" i="1" s="1"/>
  <c r="B144" i="1" l="1"/>
  <c r="B267" i="1" s="1"/>
  <c r="B269" i="1" s="1"/>
  <c r="B148" i="1"/>
  <c r="H81" i="1"/>
  <c r="M81" i="1" s="1"/>
  <c r="B29" i="1"/>
  <c r="B31" i="1" s="1"/>
  <c r="L38" i="1"/>
  <c r="M38" i="1" s="1"/>
  <c r="M31" i="1"/>
  <c r="F69" i="1"/>
  <c r="H69" i="1" s="1"/>
  <c r="J59" i="1"/>
  <c r="M59" i="1" s="1"/>
  <c r="M40" i="1"/>
  <c r="F125" i="1"/>
  <c r="H125" i="1" s="1"/>
  <c r="M125" i="1" s="1"/>
  <c r="F121" i="1"/>
  <c r="L121" i="1" s="1"/>
  <c r="M121" i="1" s="1"/>
  <c r="F94" i="1"/>
  <c r="J94" i="1" s="1"/>
  <c r="M94" i="1" s="1"/>
  <c r="F63" i="1"/>
  <c r="H63" i="1" s="1"/>
  <c r="M63" i="1" s="1"/>
  <c r="F30" i="1"/>
  <c r="J30" i="1" s="1"/>
  <c r="M30" i="1" s="1"/>
  <c r="L270" i="1" l="1"/>
  <c r="B161" i="1"/>
  <c r="B172" i="1" s="1"/>
  <c r="B179" i="1" s="1"/>
  <c r="B183" i="1" s="1"/>
  <c r="B190" i="1" s="1"/>
  <c r="B199" i="1" s="1"/>
  <c r="B203" i="1" s="1"/>
  <c r="B209" i="1" s="1"/>
  <c r="B215" i="1" s="1"/>
  <c r="B227" i="1" s="1"/>
  <c r="B234" i="1" s="1"/>
  <c r="B242" i="1" s="1"/>
  <c r="B250" i="1" s="1"/>
  <c r="B254" i="1" s="1"/>
  <c r="B258" i="1" s="1"/>
  <c r="B262" i="1" s="1"/>
  <c r="B155" i="1"/>
  <c r="M69" i="1"/>
  <c r="F147" i="1"/>
  <c r="F145" i="1"/>
  <c r="J145" i="1" s="1"/>
  <c r="M145" i="1" s="1"/>
  <c r="J270" i="1" l="1"/>
  <c r="H147" i="1"/>
  <c r="M147" i="1" l="1"/>
  <c r="H270" i="1"/>
  <c r="M271" i="1" l="1"/>
  <c r="M270" i="1" l="1"/>
  <c r="M272" i="1" s="1"/>
  <c r="M273" i="1" s="1"/>
  <c r="M274" i="1" s="1"/>
  <c r="M275" i="1" s="1"/>
  <c r="M276" i="1" s="1"/>
  <c r="M277" i="1" s="1"/>
  <c r="M278" i="1" s="1"/>
  <c r="M279" i="1" l="1"/>
  <c r="M280" i="1" s="1"/>
  <c r="L6" i="1" s="1"/>
  <c r="L7" i="1" s="1"/>
</calcChain>
</file>

<file path=xl/sharedStrings.xml><?xml version="1.0" encoding="utf-8"?>
<sst xmlns="http://schemas.openxmlformats.org/spreadsheetml/2006/main" count="513" uniqueCount="175">
  <si>
    <t>გლდანი</t>
  </si>
  <si>
    <t>გგპ-ს დემონტაჟი და მშენებლობა</t>
  </si>
  <si>
    <t>საორიენტაციო ხარჯთაღრიცხვა</t>
  </si>
  <si>
    <t xml:space="preserve">მის: </t>
  </si>
  <si>
    <t>სახარჯთ. ღირებულება</t>
  </si>
  <si>
    <t xml:space="preserve">ს/კ : </t>
  </si>
  <si>
    <t xml:space="preserve">საფუძველი: </t>
  </si>
  <si>
    <t>$</t>
  </si>
  <si>
    <t>#</t>
  </si>
  <si>
    <t>განზომილება</t>
  </si>
  <si>
    <t>ნორმ. ერთეული</t>
  </si>
  <si>
    <t>სულ</t>
  </si>
  <si>
    <t>მასალა</t>
  </si>
  <si>
    <t>ხელფასი</t>
  </si>
  <si>
    <t>მანქანა- მექანიზმები</t>
  </si>
  <si>
    <t>სამუშაოს დასახელება</t>
  </si>
  <si>
    <t>ერთ.</t>
  </si>
  <si>
    <t>ჯამი</t>
  </si>
  <si>
    <t>ფასი</t>
  </si>
  <si>
    <t>დემონტაჟი</t>
  </si>
  <si>
    <t>არსებული ტექნიკური შენობის დემონტაჟი</t>
  </si>
  <si>
    <t>მ²</t>
  </si>
  <si>
    <t>შრომის დანახარჯები</t>
  </si>
  <si>
    <t>სხვა მანქანა</t>
  </si>
  <si>
    <t>ლარი</t>
  </si>
  <si>
    <t>არსებული საოფისე შენობის გაშიშვლება ძირითად კონსტრუქციამდე ( ფასადი , სახურავი, შიდა კედლები, იატაკი და ა.შ)</t>
  </si>
  <si>
    <t>იატაკისა და საძირკვლების დემონტაჟი</t>
  </si>
  <si>
    <t>მ³</t>
  </si>
  <si>
    <t>არსებული ღობის დემონტაჟი</t>
  </si>
  <si>
    <t>გრძ.მ</t>
  </si>
  <si>
    <t>ცალი</t>
  </si>
  <si>
    <t>დმეონტირებული სენდვიჩ-პანელის დასაწყობება დამკვეთის მიერ მითითებულ ადგილას</t>
  </si>
  <si>
    <t>სამშენებლო ნაგვის დატვირთვა ხელით ავტოთვითმცლელებზე</t>
  </si>
  <si>
    <t>სამშენებლო ნაგვის გატანა</t>
  </si>
  <si>
    <t>ტ</t>
  </si>
  <si>
    <t>ძირითადი შენობა</t>
  </si>
  <si>
    <t>III კატეგორიის გრუნტის დამუშავება და დატვირთვა ავტოთვითმცლელებზე</t>
  </si>
  <si>
    <t>ექსკავატორი</t>
  </si>
  <si>
    <t>მანქ/დღე</t>
  </si>
  <si>
    <t>ზედმეტი გრუნტის გატანა</t>
  </si>
  <si>
    <t>ბალასტის საფუძვლის მოწყობა</t>
  </si>
  <si>
    <t>შრომის დანახარჯი</t>
  </si>
  <si>
    <t>სატკეპნი</t>
  </si>
  <si>
    <t xml:space="preserve">ბალასტი </t>
  </si>
  <si>
    <t>ღორღის ფენის მოწყობა</t>
  </si>
  <si>
    <t>ღორღი</t>
  </si>
  <si>
    <t>რკ/ ბეტონის ფილის მოწყობა სისქით 20 სმ</t>
  </si>
  <si>
    <t xml:space="preserve">შრომის დანახარჯები </t>
  </si>
  <si>
    <t>ბეტონის ტუმბო</t>
  </si>
  <si>
    <t>ვიბრატორი (ცვეთა)</t>
  </si>
  <si>
    <t>მ/სთ</t>
  </si>
  <si>
    <t>მასალა:</t>
  </si>
  <si>
    <t>პოლიეთილენის ფირი, სისქით 0.15 მმ</t>
  </si>
  <si>
    <t>მ2</t>
  </si>
  <si>
    <t>სამშენებლო ლურსმანი</t>
  </si>
  <si>
    <t>კგ</t>
  </si>
  <si>
    <t xml:space="preserve">გამომწვარი მავთული, დიამეტრით 6.3-6.5 მმ </t>
  </si>
  <si>
    <t>საყალიბე ფარი (ლამინირებული ფანერა)</t>
  </si>
  <si>
    <t xml:space="preserve">ხის ჩამოგანული ფიცარი 3ხ. 40 მმ </t>
  </si>
  <si>
    <t>მ3</t>
  </si>
  <si>
    <t>ბეტონი B25</t>
  </si>
  <si>
    <r>
      <t xml:space="preserve">არმატურის შენადუღები ბადე </t>
    </r>
    <r>
      <rPr>
        <sz val="9"/>
        <rFont val="Calibri"/>
        <family val="2"/>
      </rPr>
      <t>Ø</t>
    </r>
    <r>
      <rPr>
        <sz val="9"/>
        <rFont val="Calibri Light"/>
        <family val="2"/>
      </rPr>
      <t>6</t>
    </r>
  </si>
  <si>
    <t xml:space="preserve">ტექნიკური შენობის განთავსების ადგილზე შემაღლების მოწყობა ბეტონით </t>
  </si>
  <si>
    <t>მონოლითური რკ/ბეტონის ცოკოლის მოწყობა ღობისთვის</t>
  </si>
  <si>
    <r>
      <t xml:space="preserve">არმატურა </t>
    </r>
    <r>
      <rPr>
        <sz val="9"/>
        <rFont val="Aptos Narrow"/>
        <family val="2"/>
      </rPr>
      <t>Ø</t>
    </r>
    <r>
      <rPr>
        <sz val="9"/>
        <rFont val="Calibri Light"/>
        <family val="2"/>
      </rPr>
      <t>12 მმ B500B</t>
    </r>
  </si>
  <si>
    <t>ტონა</t>
  </si>
  <si>
    <t>ბეტონის საფარზე ტემპერატურული ნაკერების მოწყობა</t>
  </si>
  <si>
    <t>ლითონის ძირითადი და დამხმარე კონსტრუქციების მოწყობა</t>
  </si>
  <si>
    <t>შედუღების აპარატი (ცვეთა)</t>
  </si>
  <si>
    <t>მანქ/სთ</t>
  </si>
  <si>
    <t>ლითონის კვადრატული მილი 100x100x3</t>
  </si>
  <si>
    <t>პრ.</t>
  </si>
  <si>
    <t>ლითონის კვადრატული მილი 50x50x3</t>
  </si>
  <si>
    <t xml:space="preserve">ლითონის ფურცელი 200x200x15მმ </t>
  </si>
  <si>
    <t>ელექტროდი</t>
  </si>
  <si>
    <t>სხვა მასალა</t>
  </si>
  <si>
    <t>ლითონ კონსტრუქციების შეღებვა ანტიკოროზიული საღებავით</t>
  </si>
  <si>
    <t>ანტიკოროზიული საღებავი</t>
  </si>
  <si>
    <t>კედლების მოწყობა  სენდვიჩ-პანელით 50 მმ</t>
  </si>
  <si>
    <r>
      <t>მ</t>
    </r>
    <r>
      <rPr>
        <b/>
        <vertAlign val="superscript"/>
        <sz val="9"/>
        <rFont val="Calibri Light"/>
        <family val="2"/>
        <scheme val="major"/>
      </rPr>
      <t>2</t>
    </r>
  </si>
  <si>
    <r>
      <t>მ</t>
    </r>
    <r>
      <rPr>
        <vertAlign val="superscript"/>
        <sz val="9"/>
        <rFont val="Calibri Light"/>
        <family val="2"/>
        <scheme val="major"/>
      </rPr>
      <t>2</t>
    </r>
  </si>
  <si>
    <t>მანქანა მექანიზმები</t>
  </si>
  <si>
    <t>სენდვიჩ-პანელი კედლის სისქით 50მმ</t>
  </si>
  <si>
    <t>ფასონური ელემენტების , აქსესუარები</t>
  </si>
  <si>
    <t>შურუფი</t>
  </si>
  <si>
    <t xml:space="preserve">სახურავზე სენდვიჩ-პანელის მოწყობა 50 მმ </t>
  </si>
  <si>
    <t>სენდვიჩ-პანელი სახურავის სისქით 50მმ</t>
  </si>
  <si>
    <t>ფასონური ელემენტების , აქსესუარების მოწყობა</t>
  </si>
  <si>
    <t>გერმეტიკი</t>
  </si>
  <si>
    <t>ტექნიკურ შენობაში ლითონის ორფრთიანი კარის მოწყობა (2 ცალი)</t>
  </si>
  <si>
    <t>ლითონის კარი ორფრთიანი</t>
  </si>
  <si>
    <t>წყალსაწრეტი ღარებისა და მილების მოწყობა</t>
  </si>
  <si>
    <t>წყალსაწრეტი მილი</t>
  </si>
  <si>
    <t>წყალსაწრეტი ღარი</t>
  </si>
  <si>
    <t>მეტალოპლასტმასის ფანჯრის მოწყობა</t>
  </si>
  <si>
    <t>მეტალოპლასტმასის ფანჯარა</t>
  </si>
  <si>
    <t>ცხაურების მოწყობა</t>
  </si>
  <si>
    <t>ცხაური</t>
  </si>
  <si>
    <t>პერიმეტრზე სენსორიანი სანათების მოწყობა</t>
  </si>
  <si>
    <t>სენსორიანი სანათი (ტექნიკური მახასიათებლები შეთანხმდეს დამკვეთთან)</t>
  </si>
  <si>
    <t xml:space="preserve">ღობის მოწყობა ქარხნული წარმოების </t>
  </si>
  <si>
    <t>ლითონის ღობე (მავთულბადით)</t>
  </si>
  <si>
    <t>ეზოში შესასვლელი კარის მოწყობა კუტიკარით</t>
  </si>
  <si>
    <t>ლითონის კარი (ზომა იხ. პროექტში)</t>
  </si>
  <si>
    <t>ფასადზე დათბუნების მოწყობა  მაღალი სიმკვრივის ქვაბამბით სისქით 50მმ</t>
  </si>
  <si>
    <t>ქვაბამბა სისქით 5სმ</t>
  </si>
  <si>
    <t>წებოცემენტი</t>
  </si>
  <si>
    <t>ფასადის კედლების ლესვა ქვიშა-ცემენტის ხსნარით</t>
  </si>
  <si>
    <t>ქვიშა-ცემენტის ხსნარი</t>
  </si>
  <si>
    <r>
      <t>მ</t>
    </r>
    <r>
      <rPr>
        <sz val="9"/>
        <color theme="1"/>
        <rFont val="Calibri"/>
        <family val="2"/>
      </rPr>
      <t>³</t>
    </r>
  </si>
  <si>
    <t>ფასადის კედლების სტრუქტურული ლესვა  (ბეტონის ფაქტურა)</t>
  </si>
  <si>
    <t>ზედაპირის დასამუშავებელი გრუნტი</t>
  </si>
  <si>
    <t>ლ</t>
  </si>
  <si>
    <t>ფასადის სპეციალური სალესი ფითხი</t>
  </si>
  <si>
    <t>კუთხოვანა ბადით</t>
  </si>
  <si>
    <t>მ</t>
  </si>
  <si>
    <t>მინაბოჭკოვანი ბადე</t>
  </si>
  <si>
    <t>დეკორატიული ბათქაშის გრუნტი</t>
  </si>
  <si>
    <t>დეკორატიული ბათქაში</t>
  </si>
  <si>
    <t>საღებავი ფასადის Caparol - ან ანალოგი</t>
  </si>
  <si>
    <t>ორთქიზოლაციის მოწყობა სახურავზე რულონური იზოლაციით</t>
  </si>
  <si>
    <t>ლინოკრომი I ფენა</t>
  </si>
  <si>
    <t>ბიტუმის მასტიკა</t>
  </si>
  <si>
    <t>აირი</t>
  </si>
  <si>
    <t>პემზის დამათბუნებელი ფენის მოწყობა საშუალოდ 18 სმ (ქანობების მისაცემად)</t>
  </si>
  <si>
    <t xml:space="preserve">პემზა </t>
  </si>
  <si>
    <t xml:space="preserve">არმირებული მოჭიმვის მოწყობა ქვიშა-ცემენტის ხსნარით </t>
  </si>
  <si>
    <t>შენადუღები ბადე 3x3 (200x200)</t>
  </si>
  <si>
    <t xml:space="preserve">პარაპეტზე ქუდის მოწყობა ფერადი თუნუქით </t>
  </si>
  <si>
    <t>ფერადი თუნუქი გლუვი 0.5მმ</t>
  </si>
  <si>
    <t>კვადრატული მილი 40x40x3</t>
  </si>
  <si>
    <t>სამშენებლო ფანერა</t>
  </si>
  <si>
    <t>სჭვალი</t>
  </si>
  <si>
    <t>იატაკზე დამათბუნებელი ფენის მოწყობა პემზით</t>
  </si>
  <si>
    <t>პემზა</t>
  </si>
  <si>
    <t>მოჭმვის მოწყობა ქვიშა-ცემენტის ხსნარით სისქით 50მმ</t>
  </si>
  <si>
    <t>ჰიდროიზოლაციის მოწყობა</t>
  </si>
  <si>
    <t>დიფუზიური მემბრანა (Technonicol alpha vent)</t>
  </si>
  <si>
    <t>თაბაშირ-მუყაოს ჭერისა და კედლების მოწყობა</t>
  </si>
  <si>
    <t>თაბაშირ-მუყაო ფილა (ნესტგამძლე)</t>
  </si>
  <si>
    <t>პროფილი CD 0.60მმ სისქის</t>
  </si>
  <si>
    <t>პროფილის დასაგრძელებელი 60/27</t>
  </si>
  <si>
    <t>საკიდი პირდაპირი 60/27*75</t>
  </si>
  <si>
    <t>სჭვალი LN9 3.5*9</t>
  </si>
  <si>
    <t>სჭვალი TN25 3.5*25</t>
  </si>
  <si>
    <t>გამჭედი დუბელი კ6*3.5</t>
  </si>
  <si>
    <t>რკინის დუბელ-ანკერი 8მმ</t>
  </si>
  <si>
    <t>თაბაშირ-მუყაოს ჭერისა და კედლების შეფითხვნა/შეღებვა</t>
  </si>
  <si>
    <t>შრომის დანახარჯები (ფერდილების ჩათვლით)</t>
  </si>
  <si>
    <t>ფითხი</t>
  </si>
  <si>
    <t>წყალემულსიური საღებავი</t>
  </si>
  <si>
    <t>კედლების მოპირკეთება კერამიკული ფილით</t>
  </si>
  <si>
    <t xml:space="preserve">კერამიკული ფილა </t>
  </si>
  <si>
    <t>ფუგა</t>
  </si>
  <si>
    <t>იატაკების მოპირკეთება კერამიკული ფილით</t>
  </si>
  <si>
    <t>კერამიკული ფილა</t>
  </si>
  <si>
    <t>უნიტაზის მოწყობა ჩამრეცხი ავზით</t>
  </si>
  <si>
    <t>კომპ.</t>
  </si>
  <si>
    <t>უნიტაზი ჩამრეცხი ავზით</t>
  </si>
  <si>
    <t xml:space="preserve">ხელსაბანის მოწყობა </t>
  </si>
  <si>
    <t>ხელსაბანი</t>
  </si>
  <si>
    <t>დუშკაბინის მოწყობა</t>
  </si>
  <si>
    <t>დუშკაბინა</t>
  </si>
  <si>
    <t>შემრევების მოწყობა</t>
  </si>
  <si>
    <t>აბაზანის შემრევი</t>
  </si>
  <si>
    <t>ხელსაბანის შემრევი</t>
  </si>
  <si>
    <t>საინჟინრო სისტემების მოწყობა (დენი, წყალი, გათბობა, გაგრილება და ა.შ)</t>
  </si>
  <si>
    <t>სხვადასხვა</t>
  </si>
  <si>
    <t>სამშენებლო მოედანზე დროებითი სასაწყობე კონტეინერის მოწყობა</t>
  </si>
  <si>
    <t xml:space="preserve">თვე </t>
  </si>
  <si>
    <t>სატრანსპორტო ხარჯი მასალიდან</t>
  </si>
  <si>
    <t>ზედნადები ხარჯები</t>
  </si>
  <si>
    <t>გეგმიური დაგროვება</t>
  </si>
  <si>
    <t>უსაფრთხოების ხარჯები ახალი რეგულაციების შესაბამისად</t>
  </si>
  <si>
    <t>დ.ღ.გ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</si>
</sst>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0\ &quot;₾&quot;"/>
    <numFmt numFmtId="165" formatCode="#,##0.00\ [$₾-437]"/>
    <numFmt numFmtId="166" formatCode="&quot;$&quot;#,##0.00"/>
    <numFmt numFmtId="167" formatCode="#,##0.00\ _₾"/>
    <numFmt numFmtId="168" formatCode="_-* #,##0.00_р_._-;\-* #,##0.00_р_._-;_-* &quot;-&quot;??_р_._-;_-@_-"/>
    <numFmt numFmtId="169" formatCode="0.000"/>
    <numFmt numFmtId="170" formatCode="_-* #,##0.00\ _₾_-;\-* #,##0.00\ _₾_-;_-* &quot;-&quot;??\ _₾_-;_-@_-"/>
    <numFmt numFmtId="171" formatCode="_-* #,##0.00\ &quot;₾&quot;_-;\-* #,##0.00\ &quot;₾&quot;_-;_-* &quot;-&quot;??\ &quot;₾&quot;_-;_-@_-"/>
    <numFmt numFmtId="172" formatCode="0.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name val="Arial"/>
      <family val="2"/>
      <charset val="204"/>
    </font>
    <font>
      <sz val="9"/>
      <name val="Calibri Light"/>
      <family val="2"/>
      <scheme val="major"/>
    </font>
    <font>
      <sz val="10"/>
      <name val="Arial"/>
      <family val="2"/>
    </font>
    <font>
      <b/>
      <sz val="9"/>
      <color theme="1"/>
      <name val="Calibri Light"/>
      <family val="2"/>
      <scheme val="major"/>
    </font>
    <font>
      <sz val="11"/>
      <color indexed="8"/>
      <name val="Calibri"/>
      <family val="2"/>
    </font>
    <font>
      <sz val="12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b/>
      <vertAlign val="superscript"/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9"/>
      <name val="Calibri"/>
      <family val="2"/>
    </font>
    <font>
      <sz val="9"/>
      <name val="Calibri Light"/>
      <family val="2"/>
    </font>
    <font>
      <sz val="9"/>
      <name val="Aptos Narrow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Calibri"/>
      <family val="2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0"/>
      <name val="Times New Roman"/>
      <family val="1"/>
      <charset val="204"/>
    </font>
    <font>
      <b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170" fontId="1" fillId="0" borderId="0" applyFont="0" applyFill="0" applyBorder="0" applyAlignment="0" applyProtection="0"/>
    <xf numFmtId="0" fontId="9" fillId="0" borderId="0"/>
  </cellStyleXfs>
  <cellXfs count="174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0" fillId="2" borderId="5" xfId="3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/>
    </xf>
    <xf numFmtId="168" fontId="10" fillId="2" borderId="11" xfId="5" applyFont="1" applyFill="1" applyBorder="1" applyAlignment="1" applyProtection="1">
      <alignment horizontal="center" vertical="center"/>
    </xf>
    <xf numFmtId="0" fontId="10" fillId="2" borderId="17" xfId="3" applyFont="1" applyFill="1" applyBorder="1" applyAlignment="1">
      <alignment horizontal="center" vertical="center" wrapText="1"/>
    </xf>
    <xf numFmtId="168" fontId="10" fillId="2" borderId="18" xfId="5" applyFont="1" applyFill="1" applyBorder="1" applyAlignment="1" applyProtection="1">
      <alignment horizontal="center" vertical="center"/>
    </xf>
    <xf numFmtId="0" fontId="13" fillId="2" borderId="0" xfId="0" applyFont="1" applyFill="1"/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4" fillId="2" borderId="0" xfId="0" applyFont="1" applyFill="1"/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3" fontId="10" fillId="3" borderId="21" xfId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3" fontId="6" fillId="2" borderId="21" xfId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43" fontId="13" fillId="2" borderId="21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7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169" fontId="8" fillId="2" borderId="21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10" fillId="2" borderId="21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top" wrapText="1"/>
    </xf>
    <xf numFmtId="171" fontId="8" fillId="2" borderId="21" xfId="8" applyNumberFormat="1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right" vertical="center" wrapText="1"/>
    </xf>
    <xf numFmtId="0" fontId="23" fillId="2" borderId="0" xfId="0" applyFont="1" applyFill="1"/>
    <xf numFmtId="172" fontId="6" fillId="2" borderId="21" xfId="0" applyNumberFormat="1" applyFont="1" applyFill="1" applyBorder="1" applyAlignment="1">
      <alignment horizontal="center" vertical="center"/>
    </xf>
    <xf numFmtId="2" fontId="6" fillId="2" borderId="21" xfId="9" applyNumberFormat="1" applyFont="1" applyFill="1" applyBorder="1" applyAlignment="1">
      <alignment horizontal="center" vertical="center"/>
    </xf>
    <xf numFmtId="43" fontId="6" fillId="2" borderId="21" xfId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 wrapText="1"/>
    </xf>
    <xf numFmtId="43" fontId="10" fillId="2" borderId="21" xfId="1" applyFont="1" applyFill="1" applyBorder="1" applyAlignment="1">
      <alignment horizontal="center" vertical="top" wrapText="1"/>
    </xf>
    <xf numFmtId="9" fontId="10" fillId="2" borderId="21" xfId="0" applyNumberFormat="1" applyFont="1" applyFill="1" applyBorder="1" applyAlignment="1">
      <alignment horizontal="center" vertical="center"/>
    </xf>
    <xf numFmtId="43" fontId="10" fillId="2" borderId="21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9" fontId="10" fillId="2" borderId="25" xfId="0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43" fontId="10" fillId="2" borderId="25" xfId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 wrapText="1"/>
    </xf>
    <xf numFmtId="43" fontId="23" fillId="2" borderId="0" xfId="0" applyNumberFormat="1" applyFont="1" applyFill="1"/>
    <xf numFmtId="0" fontId="1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64" fontId="23" fillId="2" borderId="0" xfId="0" applyNumberFormat="1" applyFont="1" applyFill="1"/>
    <xf numFmtId="164" fontId="6" fillId="2" borderId="1" xfId="0" applyNumberFormat="1" applyFont="1" applyFill="1" applyBorder="1" applyAlignment="1">
      <alignment vertical="center"/>
    </xf>
    <xf numFmtId="0" fontId="28" fillId="0" borderId="0" xfId="0" applyFont="1"/>
    <xf numFmtId="0" fontId="10" fillId="2" borderId="21" xfId="0" applyFont="1" applyFill="1" applyBorder="1" applyAlignment="1">
      <alignment horizontal="left" vertical="center" wrapText="1"/>
    </xf>
    <xf numFmtId="4" fontId="10" fillId="2" borderId="21" xfId="0" applyNumberFormat="1" applyFont="1" applyFill="1" applyBorder="1" applyAlignment="1">
      <alignment vertical="center" wrapText="1"/>
    </xf>
    <xf numFmtId="0" fontId="28" fillId="2" borderId="0" xfId="0" applyFont="1" applyFill="1"/>
    <xf numFmtId="4" fontId="13" fillId="2" borderId="21" xfId="0" applyNumberFormat="1" applyFont="1" applyFill="1" applyBorder="1" applyAlignment="1">
      <alignment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vertical="center" wrapText="1"/>
    </xf>
    <xf numFmtId="0" fontId="29" fillId="2" borderId="0" xfId="0" applyFont="1" applyFill="1"/>
    <xf numFmtId="43" fontId="0" fillId="2" borderId="0" xfId="0" applyNumberFormat="1" applyFill="1"/>
    <xf numFmtId="171" fontId="31" fillId="2" borderId="0" xfId="0" applyNumberFormat="1" applyFont="1" applyFill="1"/>
    <xf numFmtId="171" fontId="10" fillId="2" borderId="20" xfId="0" applyNumberFormat="1" applyFont="1" applyFill="1" applyBorder="1" applyAlignment="1">
      <alignment horizontal="center" vertical="center"/>
    </xf>
    <xf numFmtId="171" fontId="32" fillId="2" borderId="0" xfId="0" applyNumberFormat="1" applyFont="1" applyFill="1"/>
    <xf numFmtId="171" fontId="33" fillId="2" borderId="0" xfId="0" applyNumberFormat="1" applyFont="1" applyFill="1" applyAlignment="1">
      <alignment vertical="center"/>
    </xf>
    <xf numFmtId="171" fontId="34" fillId="2" borderId="0" xfId="0" applyNumberFormat="1" applyFont="1" applyFill="1" applyAlignment="1">
      <alignment vertical="center"/>
    </xf>
    <xf numFmtId="0" fontId="35" fillId="2" borderId="0" xfId="0" applyFont="1" applyFill="1"/>
    <xf numFmtId="0" fontId="32" fillId="2" borderId="0" xfId="0" applyFont="1" applyFill="1"/>
    <xf numFmtId="4" fontId="6" fillId="2" borderId="21" xfId="0" applyNumberFormat="1" applyFont="1" applyFill="1" applyBorder="1" applyAlignment="1">
      <alignment vertical="center" wrapText="1"/>
    </xf>
    <xf numFmtId="0" fontId="29" fillId="0" borderId="0" xfId="0" applyFont="1"/>
    <xf numFmtId="0" fontId="36" fillId="0" borderId="0" xfId="0" applyFont="1"/>
    <xf numFmtId="164" fontId="3" fillId="2" borderId="2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 wrapText="1"/>
    </xf>
    <xf numFmtId="0" fontId="10" fillId="2" borderId="0" xfId="3" applyFont="1" applyFill="1" applyAlignment="1">
      <alignment horizontal="center" vertical="center" wrapText="1"/>
    </xf>
    <xf numFmtId="0" fontId="10" fillId="2" borderId="0" xfId="6" applyFont="1" applyFill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Alignment="1">
      <alignment horizontal="left" vertical="center"/>
    </xf>
    <xf numFmtId="164" fontId="6" fillId="2" borderId="0" xfId="0" applyNumberFormat="1" applyFont="1" applyFill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2" borderId="3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7" fontId="6" fillId="2" borderId="3" xfId="0" applyNumberFormat="1" applyFont="1" applyFill="1" applyBorder="1" applyAlignment="1">
      <alignment vertical="center"/>
    </xf>
    <xf numFmtId="167" fontId="6" fillId="2" borderId="31" xfId="0" applyNumberFormat="1" applyFont="1" applyFill="1" applyBorder="1" applyAlignment="1">
      <alignment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9" fontId="10" fillId="2" borderId="6" xfId="4" applyFont="1" applyFill="1" applyBorder="1" applyAlignment="1" applyProtection="1">
      <alignment horizontal="center" vertical="center" wrapText="1"/>
    </xf>
    <xf numFmtId="9" fontId="10" fillId="2" borderId="11" xfId="4" applyFont="1" applyFill="1" applyBorder="1" applyAlignment="1" applyProtection="1">
      <alignment horizontal="center" vertical="center" wrapText="1"/>
    </xf>
    <xf numFmtId="9" fontId="10" fillId="2" borderId="18" xfId="4" applyFont="1" applyFill="1" applyBorder="1" applyAlignment="1" applyProtection="1">
      <alignment horizontal="center" vertical="center" wrapText="1"/>
    </xf>
    <xf numFmtId="168" fontId="10" fillId="2" borderId="6" xfId="5" applyFont="1" applyFill="1" applyBorder="1" applyAlignment="1" applyProtection="1">
      <alignment horizontal="center" vertical="center"/>
    </xf>
    <xf numFmtId="168" fontId="10" fillId="2" borderId="11" xfId="5" applyFont="1" applyFill="1" applyBorder="1" applyAlignment="1" applyProtection="1">
      <alignment horizontal="center" vertical="center"/>
    </xf>
    <xf numFmtId="168" fontId="10" fillId="2" borderId="18" xfId="5" applyFont="1" applyFill="1" applyBorder="1" applyAlignment="1" applyProtection="1">
      <alignment horizontal="center" vertical="center"/>
    </xf>
    <xf numFmtId="168" fontId="10" fillId="2" borderId="7" xfId="5" applyFont="1" applyFill="1" applyBorder="1" applyAlignment="1" applyProtection="1">
      <alignment horizontal="center" vertical="center"/>
    </xf>
    <xf numFmtId="168" fontId="10" fillId="2" borderId="8" xfId="5" applyFont="1" applyFill="1" applyBorder="1" applyAlignment="1" applyProtection="1">
      <alignment horizontal="center" vertical="center"/>
    </xf>
    <xf numFmtId="168" fontId="10" fillId="2" borderId="12" xfId="5" applyFont="1" applyFill="1" applyBorder="1" applyAlignment="1" applyProtection="1">
      <alignment horizontal="center" vertical="center"/>
    </xf>
    <xf numFmtId="168" fontId="10" fillId="2" borderId="13" xfId="5" applyFont="1" applyFill="1" applyBorder="1" applyAlignment="1" applyProtection="1">
      <alignment horizontal="center" vertical="center"/>
    </xf>
    <xf numFmtId="168" fontId="10" fillId="2" borderId="7" xfId="5" applyFont="1" applyFill="1" applyBorder="1" applyAlignment="1" applyProtection="1">
      <alignment horizontal="center" vertical="center" wrapText="1"/>
    </xf>
    <xf numFmtId="168" fontId="10" fillId="2" borderId="8" xfId="5" applyFont="1" applyFill="1" applyBorder="1" applyAlignment="1" applyProtection="1">
      <alignment horizontal="center" vertical="center" wrapText="1"/>
    </xf>
    <xf numFmtId="168" fontId="10" fillId="2" borderId="12" xfId="5" applyFont="1" applyFill="1" applyBorder="1" applyAlignment="1" applyProtection="1">
      <alignment horizontal="center" vertical="center" wrapText="1"/>
    </xf>
    <xf numFmtId="168" fontId="10" fillId="2" borderId="13" xfId="5" applyFont="1" applyFill="1" applyBorder="1" applyAlignment="1" applyProtection="1">
      <alignment horizontal="center" vertical="center" wrapText="1"/>
    </xf>
    <xf numFmtId="168" fontId="10" fillId="2" borderId="9" xfId="5" applyFont="1" applyFill="1" applyBorder="1" applyAlignment="1" applyProtection="1">
      <alignment horizontal="center" vertical="center"/>
    </xf>
    <xf numFmtId="168" fontId="10" fillId="2" borderId="14" xfId="5" applyFont="1" applyFill="1" applyBorder="1" applyAlignment="1" applyProtection="1">
      <alignment horizontal="center" vertical="center"/>
    </xf>
    <xf numFmtId="168" fontId="10" fillId="2" borderId="19" xfId="5" applyFont="1" applyFill="1" applyBorder="1" applyAlignment="1" applyProtection="1">
      <alignment horizontal="center" vertical="center"/>
    </xf>
    <xf numFmtId="168" fontId="10" fillId="2" borderId="15" xfId="5" applyFont="1" applyFill="1" applyBorder="1" applyAlignment="1" applyProtection="1">
      <alignment horizontal="center" vertical="center"/>
    </xf>
  </cellXfs>
  <cellStyles count="10">
    <cellStyle name="Comma" xfId="1" builtinId="3"/>
    <cellStyle name="Comma 17" xfId="5" xr:uid="{69C53898-91C4-46DB-949A-6DD1290231BA}"/>
    <cellStyle name="Comma 2" xfId="8" xr:uid="{9E5FD19F-C0A9-4C0B-A80C-3C712265B08F}"/>
    <cellStyle name="Normal" xfId="0" builtinId="0"/>
    <cellStyle name="Normal 10" xfId="6" xr:uid="{D1A50522-42BD-48FD-A2ED-BC39AD5E2C64}"/>
    <cellStyle name="Normal 9" xfId="7" xr:uid="{4277C81A-5558-4754-9491-4817F6FA8B03}"/>
    <cellStyle name="Normal_gare wyalsadfenigagarini 10" xfId="9" xr:uid="{987D07D7-202E-4328-AFBA-752541BF2F6E}"/>
    <cellStyle name="Normal_gare wyalsadfenigagarini 2_SMSH2008-IIkv ." xfId="3" xr:uid="{760F413C-4A7E-423F-BD7A-C13F9F788A88}"/>
    <cellStyle name="Percent 3" xfId="4" xr:uid="{CCBDE01A-FB00-4C4E-B6B9-656BA4208D46}"/>
    <cellStyle name="Обычный 4" xfId="2" xr:uid="{C684B1C3-AC71-41DF-B7C4-8DC96BF9F41F}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8"/>
  <sheetViews>
    <sheetView tabSelected="1" workbookViewId="0">
      <selection activeCell="Q276" sqref="Q276"/>
    </sheetView>
  </sheetViews>
  <sheetFormatPr defaultColWidth="8.85546875" defaultRowHeight="14.45"/>
  <cols>
    <col min="1" max="1" width="1.85546875" style="80" customWidth="1"/>
    <col min="2" max="2" width="5.5703125" style="95" customWidth="1"/>
    <col min="3" max="3" width="43" style="96" customWidth="1"/>
    <col min="4" max="4" width="8.140625" style="97" customWidth="1"/>
    <col min="5" max="5" width="7.140625" style="98" customWidth="1"/>
    <col min="6" max="6" width="8.5703125" style="99" customWidth="1"/>
    <col min="7" max="7" width="8.5703125" style="80" bestFit="1" customWidth="1"/>
    <col min="8" max="8" width="12.140625" style="80" customWidth="1"/>
    <col min="9" max="9" width="8.28515625" style="80" bestFit="1" customWidth="1"/>
    <col min="10" max="10" width="10" style="80" customWidth="1"/>
    <col min="11" max="11" width="9" style="80" bestFit="1" customWidth="1"/>
    <col min="12" max="12" width="8.7109375" style="80" bestFit="1" customWidth="1"/>
    <col min="13" max="13" width="15" style="80" bestFit="1" customWidth="1"/>
    <col min="14" max="16384" width="8.85546875" style="80"/>
  </cols>
  <sheetData>
    <row r="1" spans="1:13" s="1" customFormat="1"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s="1" customFormat="1">
      <c r="B2" s="139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1" customFormat="1">
      <c r="B3" s="139" t="s">
        <v>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1:13" s="1" customFormat="1"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s="1" customFormat="1" ht="15" thickBot="1">
      <c r="B5" s="123"/>
      <c r="C5" s="125"/>
      <c r="D5" s="126"/>
      <c r="E5" s="124"/>
      <c r="F5" s="124"/>
      <c r="G5" s="127"/>
      <c r="H5" s="127"/>
      <c r="I5" s="127"/>
      <c r="J5" s="127"/>
      <c r="K5" s="127"/>
      <c r="L5" s="127"/>
      <c r="M5" s="128"/>
    </row>
    <row r="6" spans="1:13" s="1" customFormat="1" ht="15" thickBot="1">
      <c r="A6" s="2"/>
      <c r="B6" s="142" t="s">
        <v>3</v>
      </c>
      <c r="C6" s="143"/>
      <c r="D6" s="143"/>
      <c r="E6" s="143"/>
      <c r="F6" s="143"/>
      <c r="G6" s="130"/>
      <c r="H6" s="130"/>
      <c r="I6" s="144" t="s">
        <v>4</v>
      </c>
      <c r="J6" s="144"/>
      <c r="K6" s="145"/>
      <c r="L6" s="146">
        <f>M280</f>
        <v>0</v>
      </c>
      <c r="M6" s="147"/>
    </row>
    <row r="7" spans="1:13" s="1" customFormat="1" ht="15" thickBot="1">
      <c r="A7" s="2"/>
      <c r="B7" s="142" t="s">
        <v>5</v>
      </c>
      <c r="C7" s="143"/>
      <c r="D7" s="129"/>
      <c r="E7" s="129"/>
      <c r="F7" s="131"/>
      <c r="G7" s="130"/>
      <c r="H7" s="130"/>
      <c r="I7" s="130"/>
      <c r="J7" s="130"/>
      <c r="K7" s="130"/>
      <c r="L7" s="149">
        <f>L6/L9</f>
        <v>0</v>
      </c>
      <c r="M7" s="150"/>
    </row>
    <row r="8" spans="1:13" s="1" customFormat="1">
      <c r="A8" s="2"/>
      <c r="B8" s="142" t="s">
        <v>6</v>
      </c>
      <c r="C8" s="143"/>
      <c r="D8" s="131"/>
      <c r="E8" s="131"/>
      <c r="F8" s="131"/>
      <c r="G8" s="130"/>
      <c r="H8" s="130"/>
      <c r="I8" s="130"/>
      <c r="J8" s="130"/>
      <c r="K8" s="130"/>
      <c r="L8" s="130"/>
      <c r="M8" s="101"/>
    </row>
    <row r="9" spans="1:13" s="1" customFormat="1" ht="15" thickBot="1">
      <c r="A9" s="2"/>
      <c r="B9" s="132"/>
      <c r="C9" s="133"/>
      <c r="D9" s="131"/>
      <c r="E9" s="131"/>
      <c r="F9" s="131"/>
      <c r="G9" s="130"/>
      <c r="H9" s="130"/>
      <c r="I9" s="130"/>
      <c r="J9" s="130"/>
      <c r="K9" s="130" t="s">
        <v>7</v>
      </c>
      <c r="L9" s="151">
        <v>2.64</v>
      </c>
      <c r="M9" s="152"/>
    </row>
    <row r="10" spans="1:13" s="5" customFormat="1" ht="16.350000000000001" customHeight="1">
      <c r="A10" s="3"/>
      <c r="B10" s="153" t="s">
        <v>8</v>
      </c>
      <c r="C10" s="4"/>
      <c r="D10" s="156" t="s">
        <v>9</v>
      </c>
      <c r="E10" s="156" t="s">
        <v>10</v>
      </c>
      <c r="F10" s="159" t="s">
        <v>11</v>
      </c>
      <c r="G10" s="162" t="s">
        <v>12</v>
      </c>
      <c r="H10" s="163"/>
      <c r="I10" s="162" t="s">
        <v>13</v>
      </c>
      <c r="J10" s="163"/>
      <c r="K10" s="166" t="s">
        <v>14</v>
      </c>
      <c r="L10" s="167"/>
      <c r="M10" s="170" t="s">
        <v>11</v>
      </c>
    </row>
    <row r="11" spans="1:13" s="5" customFormat="1" ht="15.6">
      <c r="A11" s="3"/>
      <c r="B11" s="154"/>
      <c r="C11" s="134" t="s">
        <v>15</v>
      </c>
      <c r="D11" s="157"/>
      <c r="E11" s="157"/>
      <c r="F11" s="160"/>
      <c r="G11" s="164"/>
      <c r="H11" s="165"/>
      <c r="I11" s="164"/>
      <c r="J11" s="165"/>
      <c r="K11" s="168"/>
      <c r="L11" s="169"/>
      <c r="M11" s="171"/>
    </row>
    <row r="12" spans="1:13" s="5" customFormat="1" ht="15.6">
      <c r="A12" s="3"/>
      <c r="B12" s="154"/>
      <c r="C12" s="135"/>
      <c r="D12" s="157"/>
      <c r="E12" s="157"/>
      <c r="F12" s="160"/>
      <c r="G12" s="6" t="s">
        <v>16</v>
      </c>
      <c r="H12" s="173" t="s">
        <v>17</v>
      </c>
      <c r="I12" s="6" t="s">
        <v>16</v>
      </c>
      <c r="J12" s="173" t="s">
        <v>17</v>
      </c>
      <c r="K12" s="6" t="s">
        <v>16</v>
      </c>
      <c r="L12" s="173" t="s">
        <v>17</v>
      </c>
      <c r="M12" s="171"/>
    </row>
    <row r="13" spans="1:13" s="5" customFormat="1" ht="15.6">
      <c r="A13" s="3"/>
      <c r="B13" s="155"/>
      <c r="C13" s="7"/>
      <c r="D13" s="158"/>
      <c r="E13" s="158"/>
      <c r="F13" s="161"/>
      <c r="G13" s="8" t="s">
        <v>18</v>
      </c>
      <c r="H13" s="161"/>
      <c r="I13" s="8" t="s">
        <v>18</v>
      </c>
      <c r="J13" s="161"/>
      <c r="K13" s="8" t="s">
        <v>18</v>
      </c>
      <c r="L13" s="161"/>
      <c r="M13" s="172"/>
    </row>
    <row r="14" spans="1:13" s="13" customFormat="1" ht="12.95">
      <c r="A14" s="9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2">
        <v>12</v>
      </c>
    </row>
    <row r="15" spans="1:13" s="13" customFormat="1" ht="12.95">
      <c r="A15" s="9"/>
      <c r="B15" s="14"/>
      <c r="C15" s="15" t="s">
        <v>19</v>
      </c>
      <c r="D15" s="15"/>
      <c r="E15" s="15"/>
      <c r="F15" s="16"/>
      <c r="G15" s="17"/>
      <c r="H15" s="16"/>
      <c r="I15" s="16"/>
      <c r="J15" s="16"/>
      <c r="K15" s="16"/>
      <c r="L15" s="16"/>
      <c r="M15" s="18"/>
    </row>
    <row r="16" spans="1:13" s="13" customFormat="1" ht="12.95">
      <c r="A16" s="9"/>
      <c r="B16" s="26">
        <v>1</v>
      </c>
      <c r="C16" s="27" t="s">
        <v>20</v>
      </c>
      <c r="D16" s="28" t="s">
        <v>21</v>
      </c>
      <c r="E16" s="28"/>
      <c r="F16" s="29">
        <v>26</v>
      </c>
      <c r="G16" s="30"/>
      <c r="H16" s="29"/>
      <c r="I16" s="30"/>
      <c r="J16" s="29"/>
      <c r="K16" s="30"/>
      <c r="L16" s="29"/>
      <c r="M16" s="22">
        <f t="shared" ref="M16:M31" si="0">L16+J16+H16</f>
        <v>0</v>
      </c>
    </row>
    <row r="17" spans="1:13" s="13" customFormat="1" ht="12.95">
      <c r="A17" s="9"/>
      <c r="B17" s="32"/>
      <c r="C17" s="33" t="s">
        <v>22</v>
      </c>
      <c r="D17" s="34" t="s">
        <v>21</v>
      </c>
      <c r="E17" s="34">
        <v>1</v>
      </c>
      <c r="F17" s="24">
        <f>F16*E17</f>
        <v>26</v>
      </c>
      <c r="G17" s="35"/>
      <c r="H17" s="24"/>
      <c r="I17" s="35"/>
      <c r="J17" s="25">
        <f>I17*F17</f>
        <v>0</v>
      </c>
      <c r="K17" s="35"/>
      <c r="L17" s="24"/>
      <c r="M17" s="22">
        <f t="shared" si="0"/>
        <v>0</v>
      </c>
    </row>
    <row r="18" spans="1:13" s="13" customFormat="1" ht="12.95">
      <c r="A18" s="9"/>
      <c r="B18" s="32"/>
      <c r="C18" s="33" t="s">
        <v>23</v>
      </c>
      <c r="D18" s="34" t="s">
        <v>24</v>
      </c>
      <c r="E18" s="34">
        <v>1.65</v>
      </c>
      <c r="F18" s="24">
        <f>E18*F16</f>
        <v>42.9</v>
      </c>
      <c r="G18" s="35"/>
      <c r="H18" s="24"/>
      <c r="I18" s="35"/>
      <c r="J18" s="24"/>
      <c r="K18" s="35"/>
      <c r="L18" s="24">
        <f>K18*F18</f>
        <v>0</v>
      </c>
      <c r="M18" s="22">
        <f t="shared" si="0"/>
        <v>0</v>
      </c>
    </row>
    <row r="19" spans="1:13" s="13" customFormat="1" ht="36">
      <c r="A19" s="9"/>
      <c r="B19" s="26">
        <f>B16+1</f>
        <v>2</v>
      </c>
      <c r="C19" s="27" t="s">
        <v>25</v>
      </c>
      <c r="D19" s="28" t="s">
        <v>21</v>
      </c>
      <c r="E19" s="28"/>
      <c r="F19" s="29">
        <v>24</v>
      </c>
      <c r="G19" s="30"/>
      <c r="H19" s="29"/>
      <c r="I19" s="30"/>
      <c r="J19" s="29"/>
      <c r="K19" s="30"/>
      <c r="L19" s="29"/>
      <c r="M19" s="22">
        <f t="shared" ref="M19:M21" si="1">L19+J19+H19</f>
        <v>0</v>
      </c>
    </row>
    <row r="20" spans="1:13" s="13" customFormat="1" ht="12.95">
      <c r="A20" s="9"/>
      <c r="B20" s="32"/>
      <c r="C20" s="33" t="s">
        <v>22</v>
      </c>
      <c r="D20" s="34" t="s">
        <v>21</v>
      </c>
      <c r="E20" s="34">
        <v>1</v>
      </c>
      <c r="F20" s="24">
        <f>F19*E20</f>
        <v>24</v>
      </c>
      <c r="G20" s="35"/>
      <c r="H20" s="24"/>
      <c r="I20" s="35"/>
      <c r="J20" s="25">
        <f>I20*F20</f>
        <v>0</v>
      </c>
      <c r="K20" s="35"/>
      <c r="L20" s="24"/>
      <c r="M20" s="22">
        <f t="shared" si="1"/>
        <v>0</v>
      </c>
    </row>
    <row r="21" spans="1:13" s="13" customFormat="1" ht="12.95">
      <c r="A21" s="9"/>
      <c r="B21" s="32"/>
      <c r="C21" s="33" t="s">
        <v>23</v>
      </c>
      <c r="D21" s="34" t="s">
        <v>24</v>
      </c>
      <c r="E21" s="34">
        <v>1.65</v>
      </c>
      <c r="F21" s="24">
        <f>E21*F19</f>
        <v>39.599999999999994</v>
      </c>
      <c r="G21" s="35"/>
      <c r="H21" s="24"/>
      <c r="I21" s="35"/>
      <c r="J21" s="24"/>
      <c r="K21" s="35"/>
      <c r="L21" s="24">
        <f>K21*F21</f>
        <v>0</v>
      </c>
      <c r="M21" s="22">
        <f t="shared" si="1"/>
        <v>0</v>
      </c>
    </row>
    <row r="22" spans="1:13" s="13" customFormat="1" ht="12.95">
      <c r="A22" s="9"/>
      <c r="B22" s="26">
        <f>B19+1</f>
        <v>3</v>
      </c>
      <c r="C22" s="27" t="s">
        <v>26</v>
      </c>
      <c r="D22" s="28" t="s">
        <v>27</v>
      </c>
      <c r="E22" s="28"/>
      <c r="F22" s="29">
        <f>25*0.5</f>
        <v>12.5</v>
      </c>
      <c r="G22" s="30"/>
      <c r="H22" s="29"/>
      <c r="I22" s="30"/>
      <c r="J22" s="29"/>
      <c r="K22" s="30"/>
      <c r="L22" s="29"/>
      <c r="M22" s="22">
        <f t="shared" si="0"/>
        <v>0</v>
      </c>
    </row>
    <row r="23" spans="1:13" s="13" customFormat="1" ht="12.95">
      <c r="A23" s="9"/>
      <c r="B23" s="32"/>
      <c r="C23" s="33" t="s">
        <v>22</v>
      </c>
      <c r="D23" s="34" t="s">
        <v>27</v>
      </c>
      <c r="E23" s="34">
        <v>1</v>
      </c>
      <c r="F23" s="24">
        <f>F22*E23</f>
        <v>12.5</v>
      </c>
      <c r="G23" s="35"/>
      <c r="H23" s="24"/>
      <c r="I23" s="35"/>
      <c r="J23" s="25">
        <f>I23*F23</f>
        <v>0</v>
      </c>
      <c r="K23" s="35"/>
      <c r="L23" s="24"/>
      <c r="M23" s="22">
        <f t="shared" si="0"/>
        <v>0</v>
      </c>
    </row>
    <row r="24" spans="1:13" s="13" customFormat="1" ht="12.95">
      <c r="A24" s="9"/>
      <c r="B24" s="32"/>
      <c r="C24" s="33" t="s">
        <v>23</v>
      </c>
      <c r="D24" s="34" t="s">
        <v>24</v>
      </c>
      <c r="E24" s="34">
        <v>0.89</v>
      </c>
      <c r="F24" s="24">
        <f>E24*F22</f>
        <v>11.125</v>
      </c>
      <c r="G24" s="35"/>
      <c r="H24" s="24"/>
      <c r="I24" s="35"/>
      <c r="J24" s="24"/>
      <c r="K24" s="35"/>
      <c r="L24" s="24">
        <f>K24*F24</f>
        <v>0</v>
      </c>
      <c r="M24" s="22">
        <f t="shared" si="0"/>
        <v>0</v>
      </c>
    </row>
    <row r="25" spans="1:13" s="13" customFormat="1" ht="12.95">
      <c r="A25" s="9"/>
      <c r="B25" s="26">
        <f>B22+1</f>
        <v>4</v>
      </c>
      <c r="C25" s="27" t="s">
        <v>28</v>
      </c>
      <c r="D25" s="28" t="s">
        <v>29</v>
      </c>
      <c r="E25" s="28"/>
      <c r="F25" s="29">
        <v>125</v>
      </c>
      <c r="G25" s="30"/>
      <c r="H25" s="29"/>
      <c r="I25" s="30"/>
      <c r="J25" s="29"/>
      <c r="K25" s="30"/>
      <c r="L25" s="29"/>
      <c r="M25" s="22">
        <f t="shared" si="0"/>
        <v>0</v>
      </c>
    </row>
    <row r="26" spans="1:13" s="13" customFormat="1" ht="12.95">
      <c r="A26" s="9"/>
      <c r="B26" s="32"/>
      <c r="C26" s="33" t="s">
        <v>22</v>
      </c>
      <c r="D26" s="34" t="s">
        <v>30</v>
      </c>
      <c r="E26" s="34">
        <v>1</v>
      </c>
      <c r="F26" s="24">
        <f>F25*E26</f>
        <v>125</v>
      </c>
      <c r="G26" s="35"/>
      <c r="H26" s="24"/>
      <c r="I26" s="35"/>
      <c r="J26" s="25">
        <f>I26*F26</f>
        <v>0</v>
      </c>
      <c r="K26" s="35"/>
      <c r="L26" s="24"/>
      <c r="M26" s="22">
        <f t="shared" si="0"/>
        <v>0</v>
      </c>
    </row>
    <row r="27" spans="1:13" s="13" customFormat="1" ht="12.95">
      <c r="A27" s="9"/>
      <c r="B27" s="32"/>
      <c r="C27" s="33" t="s">
        <v>23</v>
      </c>
      <c r="D27" s="34" t="s">
        <v>24</v>
      </c>
      <c r="E27" s="34">
        <v>0.78</v>
      </c>
      <c r="F27" s="24">
        <f>E27*F25</f>
        <v>97.5</v>
      </c>
      <c r="G27" s="35"/>
      <c r="H27" s="24"/>
      <c r="I27" s="35"/>
      <c r="J27" s="24"/>
      <c r="K27" s="35"/>
      <c r="L27" s="24">
        <f>K27*F27</f>
        <v>0</v>
      </c>
      <c r="M27" s="22">
        <f t="shared" si="0"/>
        <v>0</v>
      </c>
    </row>
    <row r="28" spans="1:13" s="13" customFormat="1" ht="24">
      <c r="A28" s="9"/>
      <c r="B28" s="26">
        <f>B25+1</f>
        <v>5</v>
      </c>
      <c r="C28" s="27" t="s">
        <v>31</v>
      </c>
      <c r="D28" s="28" t="s">
        <v>21</v>
      </c>
      <c r="E28" s="28"/>
      <c r="F28" s="29">
        <v>50</v>
      </c>
      <c r="G28" s="30"/>
      <c r="H28" s="29"/>
      <c r="I28" s="30"/>
      <c r="J28" s="29"/>
      <c r="K28" s="30"/>
      <c r="L28" s="24">
        <f>K28*F28</f>
        <v>0</v>
      </c>
      <c r="M28" s="22">
        <f t="shared" si="0"/>
        <v>0</v>
      </c>
    </row>
    <row r="29" spans="1:13" s="13" customFormat="1" ht="24">
      <c r="A29" s="9"/>
      <c r="B29" s="26">
        <f>B28+1</f>
        <v>6</v>
      </c>
      <c r="C29" s="27" t="s">
        <v>32</v>
      </c>
      <c r="D29" s="28" t="s">
        <v>27</v>
      </c>
      <c r="E29" s="28"/>
      <c r="F29" s="29">
        <f>F22*2.4+F19*0.5</f>
        <v>42</v>
      </c>
      <c r="G29" s="30"/>
      <c r="H29" s="29"/>
      <c r="I29" s="30"/>
      <c r="J29" s="29"/>
      <c r="K29" s="30"/>
      <c r="L29" s="29"/>
      <c r="M29" s="22">
        <f t="shared" si="0"/>
        <v>0</v>
      </c>
    </row>
    <row r="30" spans="1:13" s="13" customFormat="1" ht="12.95">
      <c r="A30" s="9"/>
      <c r="B30" s="32"/>
      <c r="C30" s="33" t="s">
        <v>22</v>
      </c>
      <c r="D30" s="34" t="s">
        <v>27</v>
      </c>
      <c r="E30" s="34">
        <v>1</v>
      </c>
      <c r="F30" s="24">
        <f>F29*E30</f>
        <v>42</v>
      </c>
      <c r="G30" s="35"/>
      <c r="H30" s="24"/>
      <c r="I30" s="35"/>
      <c r="J30" s="25">
        <f>I30*F30</f>
        <v>0</v>
      </c>
      <c r="K30" s="35"/>
      <c r="L30" s="24"/>
      <c r="M30" s="22">
        <f t="shared" si="0"/>
        <v>0</v>
      </c>
    </row>
    <row r="31" spans="1:13" s="13" customFormat="1" ht="12.95">
      <c r="A31" s="9"/>
      <c r="B31" s="26">
        <f>B29+1</f>
        <v>7</v>
      </c>
      <c r="C31" s="27" t="s">
        <v>33</v>
      </c>
      <c r="D31" s="28" t="s">
        <v>34</v>
      </c>
      <c r="E31" s="28"/>
      <c r="F31" s="29">
        <f>F29*2</f>
        <v>84</v>
      </c>
      <c r="G31" s="30"/>
      <c r="H31" s="29"/>
      <c r="I31" s="30"/>
      <c r="J31" s="29"/>
      <c r="K31" s="30"/>
      <c r="L31" s="24">
        <f>K31*F31</f>
        <v>0</v>
      </c>
      <c r="M31" s="22">
        <f t="shared" si="0"/>
        <v>0</v>
      </c>
    </row>
    <row r="32" spans="1:13" s="13" customFormat="1" ht="12.95">
      <c r="A32" s="9"/>
      <c r="B32" s="14"/>
      <c r="C32" s="15" t="s">
        <v>35</v>
      </c>
      <c r="D32" s="15"/>
      <c r="E32" s="15"/>
      <c r="F32" s="16"/>
      <c r="G32" s="17"/>
      <c r="H32" s="16"/>
      <c r="I32" s="17"/>
      <c r="J32" s="16"/>
      <c r="K32" s="17"/>
      <c r="L32" s="16"/>
      <c r="M32" s="18"/>
    </row>
    <row r="33" spans="1:13" s="13" customFormat="1" ht="24">
      <c r="A33" s="9"/>
      <c r="B33" s="26">
        <f>B30+1</f>
        <v>1</v>
      </c>
      <c r="C33" s="27" t="s">
        <v>36</v>
      </c>
      <c r="D33" s="28" t="s">
        <v>27</v>
      </c>
      <c r="E33" s="28"/>
      <c r="F33" s="29">
        <f>562*0.3</f>
        <v>168.6</v>
      </c>
      <c r="G33" s="30"/>
      <c r="H33" s="29"/>
      <c r="I33" s="30"/>
      <c r="J33" s="29"/>
      <c r="K33" s="30"/>
      <c r="L33" s="29"/>
      <c r="M33" s="31"/>
    </row>
    <row r="34" spans="1:13" s="13" customFormat="1" ht="12.95">
      <c r="A34" s="9"/>
      <c r="B34" s="32"/>
      <c r="C34" s="33" t="s">
        <v>37</v>
      </c>
      <c r="D34" s="34" t="s">
        <v>38</v>
      </c>
      <c r="E34" s="34"/>
      <c r="F34" s="24">
        <v>3</v>
      </c>
      <c r="G34" s="35"/>
      <c r="H34" s="24"/>
      <c r="I34" s="35"/>
      <c r="J34" s="24"/>
      <c r="K34" s="35"/>
      <c r="L34" s="24">
        <f>K34*F34</f>
        <v>0</v>
      </c>
      <c r="M34" s="22">
        <f t="shared" ref="M34:M107" si="2">L34+J34+H34</f>
        <v>0</v>
      </c>
    </row>
    <row r="35" spans="1:13" s="13" customFormat="1" ht="12.95">
      <c r="A35" s="9"/>
      <c r="B35" s="26">
        <f>B33+1</f>
        <v>2</v>
      </c>
      <c r="C35" s="27" t="s">
        <v>39</v>
      </c>
      <c r="D35" s="28" t="s">
        <v>27</v>
      </c>
      <c r="E35" s="28"/>
      <c r="F35" s="29">
        <f>F33</f>
        <v>168.6</v>
      </c>
      <c r="G35" s="30"/>
      <c r="H35" s="29"/>
      <c r="I35" s="30"/>
      <c r="J35" s="29"/>
      <c r="K35" s="30"/>
      <c r="L35" s="24">
        <f>K35*F35</f>
        <v>0</v>
      </c>
      <c r="M35" s="22">
        <f t="shared" si="2"/>
        <v>0</v>
      </c>
    </row>
    <row r="36" spans="1:13" s="36" customFormat="1" ht="12.95">
      <c r="B36" s="26">
        <v>3</v>
      </c>
      <c r="C36" s="27" t="s">
        <v>40</v>
      </c>
      <c r="D36" s="28" t="s">
        <v>27</v>
      </c>
      <c r="E36" s="28"/>
      <c r="F36" s="29">
        <f>854.7*0.3</f>
        <v>256.41000000000003</v>
      </c>
      <c r="G36" s="30"/>
      <c r="H36" s="29"/>
      <c r="I36" s="30"/>
      <c r="J36" s="29"/>
      <c r="K36" s="30"/>
      <c r="L36" s="29"/>
      <c r="M36" s="22">
        <f t="shared" si="2"/>
        <v>0</v>
      </c>
    </row>
    <row r="37" spans="1:13" s="37" customFormat="1" ht="14.25" customHeight="1">
      <c r="B37" s="32"/>
      <c r="C37" s="33" t="s">
        <v>41</v>
      </c>
      <c r="D37" s="34" t="s">
        <v>27</v>
      </c>
      <c r="E37" s="34">
        <v>1</v>
      </c>
      <c r="F37" s="24">
        <f>E37*F36</f>
        <v>256.41000000000003</v>
      </c>
      <c r="G37" s="35"/>
      <c r="H37" s="24"/>
      <c r="I37" s="35"/>
      <c r="J37" s="25">
        <f>I37*F37</f>
        <v>0</v>
      </c>
      <c r="K37" s="35"/>
      <c r="L37" s="24"/>
      <c r="M37" s="22">
        <f t="shared" si="2"/>
        <v>0</v>
      </c>
    </row>
    <row r="38" spans="1:13" s="37" customFormat="1" ht="14.25" customHeight="1">
      <c r="B38" s="32"/>
      <c r="C38" s="33" t="s">
        <v>37</v>
      </c>
      <c r="D38" s="34" t="s">
        <v>38</v>
      </c>
      <c r="E38" s="34"/>
      <c r="F38" s="24">
        <v>2</v>
      </c>
      <c r="G38" s="35"/>
      <c r="H38" s="24"/>
      <c r="I38" s="35"/>
      <c r="J38" s="24"/>
      <c r="K38" s="35"/>
      <c r="L38" s="24">
        <f t="shared" ref="L38:L39" si="3">K38*F38</f>
        <v>0</v>
      </c>
      <c r="M38" s="22">
        <f t="shared" si="2"/>
        <v>0</v>
      </c>
    </row>
    <row r="39" spans="1:13" s="38" customFormat="1" ht="12.95">
      <c r="B39" s="32"/>
      <c r="C39" s="33" t="s">
        <v>42</v>
      </c>
      <c r="D39" s="34" t="s">
        <v>38</v>
      </c>
      <c r="E39" s="34"/>
      <c r="F39" s="24">
        <v>2</v>
      </c>
      <c r="G39" s="35"/>
      <c r="H39" s="24"/>
      <c r="I39" s="35"/>
      <c r="J39" s="24"/>
      <c r="K39" s="35"/>
      <c r="L39" s="24">
        <f t="shared" si="3"/>
        <v>0</v>
      </c>
      <c r="M39" s="22">
        <f t="shared" si="2"/>
        <v>0</v>
      </c>
    </row>
    <row r="40" spans="1:13" s="39" customFormat="1" ht="16.5" customHeight="1">
      <c r="B40" s="32"/>
      <c r="C40" s="33" t="s">
        <v>43</v>
      </c>
      <c r="D40" s="34" t="s">
        <v>27</v>
      </c>
      <c r="E40" s="34">
        <f>1.23</f>
        <v>1.23</v>
      </c>
      <c r="F40" s="24">
        <f>E40*F36</f>
        <v>315.38430000000005</v>
      </c>
      <c r="G40" s="35"/>
      <c r="H40" s="24">
        <f>G40*F40</f>
        <v>0</v>
      </c>
      <c r="I40" s="35"/>
      <c r="J40" s="24"/>
      <c r="K40" s="35"/>
      <c r="L40" s="24"/>
      <c r="M40" s="22">
        <f t="shared" si="2"/>
        <v>0</v>
      </c>
    </row>
    <row r="41" spans="1:13" s="36" customFormat="1" ht="12.95">
      <c r="B41" s="26">
        <v>4</v>
      </c>
      <c r="C41" s="27" t="s">
        <v>44</v>
      </c>
      <c r="D41" s="28" t="s">
        <v>27</v>
      </c>
      <c r="E41" s="28"/>
      <c r="F41" s="21">
        <f>518*0.1+336.7*0.2</f>
        <v>119.14000000000001</v>
      </c>
      <c r="G41" s="30"/>
      <c r="H41" s="29"/>
      <c r="I41" s="30"/>
      <c r="J41" s="29"/>
      <c r="K41" s="30"/>
      <c r="L41" s="29"/>
      <c r="M41" s="22">
        <f t="shared" si="2"/>
        <v>0</v>
      </c>
    </row>
    <row r="42" spans="1:13" s="37" customFormat="1" ht="14.25" customHeight="1">
      <c r="B42" s="32"/>
      <c r="C42" s="33" t="s">
        <v>41</v>
      </c>
      <c r="D42" s="34" t="s">
        <v>27</v>
      </c>
      <c r="E42" s="34">
        <v>1</v>
      </c>
      <c r="F42" s="24">
        <f>E42*F41</f>
        <v>119.14000000000001</v>
      </c>
      <c r="G42" s="35"/>
      <c r="H42" s="24"/>
      <c r="I42" s="35"/>
      <c r="J42" s="25">
        <f>I42*F42</f>
        <v>0</v>
      </c>
      <c r="K42" s="35"/>
      <c r="L42" s="24"/>
      <c r="M42" s="22">
        <f t="shared" si="2"/>
        <v>0</v>
      </c>
    </row>
    <row r="43" spans="1:13" s="37" customFormat="1" ht="14.25" customHeight="1">
      <c r="B43" s="32"/>
      <c r="C43" s="33" t="s">
        <v>37</v>
      </c>
      <c r="D43" s="34" t="s">
        <v>38</v>
      </c>
      <c r="E43" s="34"/>
      <c r="F43" s="24">
        <v>1</v>
      </c>
      <c r="G43" s="35"/>
      <c r="H43" s="24"/>
      <c r="I43" s="35"/>
      <c r="J43" s="24"/>
      <c r="K43" s="35"/>
      <c r="L43" s="24">
        <f t="shared" ref="L43:L44" si="4">K43*F43</f>
        <v>0</v>
      </c>
      <c r="M43" s="22">
        <f t="shared" si="2"/>
        <v>0</v>
      </c>
    </row>
    <row r="44" spans="1:13" s="38" customFormat="1" ht="12.95">
      <c r="B44" s="32"/>
      <c r="C44" s="33" t="s">
        <v>42</v>
      </c>
      <c r="D44" s="34" t="s">
        <v>38</v>
      </c>
      <c r="E44" s="34"/>
      <c r="F44" s="24">
        <v>1</v>
      </c>
      <c r="G44" s="35"/>
      <c r="H44" s="24"/>
      <c r="I44" s="35"/>
      <c r="J44" s="24"/>
      <c r="K44" s="35"/>
      <c r="L44" s="24">
        <f t="shared" si="4"/>
        <v>0</v>
      </c>
      <c r="M44" s="22">
        <f t="shared" si="2"/>
        <v>0</v>
      </c>
    </row>
    <row r="45" spans="1:13" s="39" customFormat="1" ht="16.5" customHeight="1">
      <c r="B45" s="32"/>
      <c r="C45" s="33" t="s">
        <v>45</v>
      </c>
      <c r="D45" s="34" t="s">
        <v>27</v>
      </c>
      <c r="E45" s="34">
        <f>1.23</f>
        <v>1.23</v>
      </c>
      <c r="F45" s="24">
        <f>E45*F41</f>
        <v>146.54220000000001</v>
      </c>
      <c r="G45" s="35"/>
      <c r="H45" s="24">
        <f>G45*F45</f>
        <v>0</v>
      </c>
      <c r="I45" s="35"/>
      <c r="J45" s="24"/>
      <c r="K45" s="35"/>
      <c r="L45" s="24"/>
      <c r="M45" s="22">
        <f t="shared" si="2"/>
        <v>0</v>
      </c>
    </row>
    <row r="46" spans="1:13" s="42" customFormat="1" ht="31.5" customHeight="1">
      <c r="A46" s="40"/>
      <c r="B46" s="41">
        <v>5</v>
      </c>
      <c r="C46" s="19" t="s">
        <v>46</v>
      </c>
      <c r="D46" s="28" t="s">
        <v>27</v>
      </c>
      <c r="E46" s="20"/>
      <c r="F46" s="21">
        <f>518*0.2</f>
        <v>103.60000000000001</v>
      </c>
      <c r="G46" s="24"/>
      <c r="H46" s="24"/>
      <c r="I46" s="24"/>
      <c r="J46" s="24"/>
      <c r="K46" s="24"/>
      <c r="L46" s="24"/>
      <c r="M46" s="22">
        <f t="shared" si="2"/>
        <v>0</v>
      </c>
    </row>
    <row r="47" spans="1:13" s="37" customFormat="1" ht="14.25" customHeight="1">
      <c r="A47" s="43"/>
      <c r="B47" s="44"/>
      <c r="C47" s="45" t="s">
        <v>47</v>
      </c>
      <c r="D47" s="23" t="s">
        <v>21</v>
      </c>
      <c r="E47" s="46">
        <v>0.2</v>
      </c>
      <c r="F47" s="47">
        <f>F46/E47</f>
        <v>518</v>
      </c>
      <c r="G47" s="24"/>
      <c r="H47" s="24"/>
      <c r="I47" s="24"/>
      <c r="J47" s="25">
        <f>I47*F47</f>
        <v>0</v>
      </c>
      <c r="K47" s="24"/>
      <c r="L47" s="24"/>
      <c r="M47" s="22">
        <f t="shared" si="2"/>
        <v>0</v>
      </c>
    </row>
    <row r="48" spans="1:13" s="37" customFormat="1" ht="14.25" customHeight="1">
      <c r="A48" s="43"/>
      <c r="B48" s="44"/>
      <c r="C48" s="45" t="s">
        <v>48</v>
      </c>
      <c r="D48" s="34" t="s">
        <v>27</v>
      </c>
      <c r="E48" s="46">
        <v>1</v>
      </c>
      <c r="F48" s="47">
        <f>E48*F46</f>
        <v>103.60000000000001</v>
      </c>
      <c r="G48" s="24"/>
      <c r="H48" s="24"/>
      <c r="I48" s="24"/>
      <c r="J48" s="24"/>
      <c r="K48" s="24"/>
      <c r="L48" s="24">
        <f t="shared" ref="L48:L49" si="5">K48*F48</f>
        <v>0</v>
      </c>
      <c r="M48" s="22">
        <f t="shared" si="2"/>
        <v>0</v>
      </c>
    </row>
    <row r="49" spans="1:13" s="37" customFormat="1" ht="15" customHeight="1">
      <c r="A49" s="43"/>
      <c r="B49" s="44"/>
      <c r="C49" s="45" t="s">
        <v>49</v>
      </c>
      <c r="D49" s="48" t="s">
        <v>50</v>
      </c>
      <c r="E49" s="49">
        <v>9.3299999999999994E-2</v>
      </c>
      <c r="F49" s="47">
        <f>E49*F46</f>
        <v>9.6658799999999996</v>
      </c>
      <c r="G49" s="24"/>
      <c r="H49" s="24"/>
      <c r="I49" s="24"/>
      <c r="J49" s="24"/>
      <c r="K49" s="24"/>
      <c r="L49" s="24">
        <f t="shared" si="5"/>
        <v>0</v>
      </c>
      <c r="M49" s="22">
        <f t="shared" si="2"/>
        <v>0</v>
      </c>
    </row>
    <row r="50" spans="1:13" s="37" customFormat="1" ht="12.95">
      <c r="A50" s="43"/>
      <c r="B50" s="44"/>
      <c r="C50" s="45" t="s">
        <v>51</v>
      </c>
      <c r="D50" s="48"/>
      <c r="E50" s="49"/>
      <c r="F50" s="47"/>
      <c r="G50" s="24"/>
      <c r="H50" s="24"/>
      <c r="I50" s="24"/>
      <c r="J50" s="24"/>
      <c r="K50" s="24"/>
      <c r="L50" s="24"/>
      <c r="M50" s="22">
        <f t="shared" si="2"/>
        <v>0</v>
      </c>
    </row>
    <row r="51" spans="1:13" s="51" customFormat="1" ht="12.95">
      <c r="A51" s="50"/>
      <c r="B51" s="44"/>
      <c r="C51" s="45" t="s">
        <v>52</v>
      </c>
      <c r="D51" s="48" t="s">
        <v>53</v>
      </c>
      <c r="E51" s="46">
        <v>1</v>
      </c>
      <c r="F51" s="47">
        <f>E51*F47</f>
        <v>518</v>
      </c>
      <c r="G51" s="24"/>
      <c r="H51" s="24">
        <f t="shared" ref="H51:H57" si="6">G51*F51</f>
        <v>0</v>
      </c>
      <c r="I51" s="24"/>
      <c r="J51" s="24"/>
      <c r="K51" s="24"/>
      <c r="L51" s="24"/>
      <c r="M51" s="22">
        <f t="shared" si="2"/>
        <v>0</v>
      </c>
    </row>
    <row r="52" spans="1:13" s="51" customFormat="1" ht="12.95">
      <c r="A52" s="50"/>
      <c r="B52" s="44"/>
      <c r="C52" s="45" t="s">
        <v>54</v>
      </c>
      <c r="D52" s="48" t="s">
        <v>55</v>
      </c>
      <c r="E52" s="49">
        <f>0.002*1000/100</f>
        <v>0.02</v>
      </c>
      <c r="F52" s="47">
        <f>E52*F46</f>
        <v>2.0720000000000001</v>
      </c>
      <c r="G52" s="24"/>
      <c r="H52" s="24">
        <f t="shared" si="6"/>
        <v>0</v>
      </c>
      <c r="I52" s="24"/>
      <c r="J52" s="24"/>
      <c r="K52" s="24"/>
      <c r="L52" s="24"/>
      <c r="M52" s="22">
        <f t="shared" si="2"/>
        <v>0</v>
      </c>
    </row>
    <row r="53" spans="1:13" s="51" customFormat="1" ht="15" customHeight="1">
      <c r="A53" s="50"/>
      <c r="B53" s="44"/>
      <c r="C53" s="45" t="s">
        <v>56</v>
      </c>
      <c r="D53" s="48" t="s">
        <v>55</v>
      </c>
      <c r="E53" s="46">
        <v>1.5</v>
      </c>
      <c r="F53" s="47">
        <f>E53*F46</f>
        <v>155.4</v>
      </c>
      <c r="G53" s="24"/>
      <c r="H53" s="24">
        <f t="shared" si="6"/>
        <v>0</v>
      </c>
      <c r="I53" s="24"/>
      <c r="J53" s="24"/>
      <c r="K53" s="24"/>
      <c r="L53" s="24"/>
      <c r="M53" s="22">
        <f t="shared" si="2"/>
        <v>0</v>
      </c>
    </row>
    <row r="54" spans="1:13" s="37" customFormat="1" ht="12.95">
      <c r="A54" s="43"/>
      <c r="B54" s="44"/>
      <c r="C54" s="45" t="s">
        <v>57</v>
      </c>
      <c r="D54" s="48" t="s">
        <v>53</v>
      </c>
      <c r="E54" s="49">
        <v>7.5399999999999995E-2</v>
      </c>
      <c r="F54" s="47">
        <f>F46*E54</f>
        <v>7.8114400000000002</v>
      </c>
      <c r="G54" s="24"/>
      <c r="H54" s="24">
        <f t="shared" si="6"/>
        <v>0</v>
      </c>
      <c r="I54" s="24"/>
      <c r="J54" s="24"/>
      <c r="K54" s="24"/>
      <c r="L54" s="24"/>
      <c r="M54" s="22">
        <f t="shared" si="2"/>
        <v>0</v>
      </c>
    </row>
    <row r="55" spans="1:13" s="37" customFormat="1" ht="12.95">
      <c r="A55" s="43"/>
      <c r="B55" s="44"/>
      <c r="C55" s="45" t="s">
        <v>58</v>
      </c>
      <c r="D55" s="48" t="s">
        <v>59</v>
      </c>
      <c r="E55" s="49">
        <v>8.0000000000000004E-4</v>
      </c>
      <c r="F55" s="47">
        <f>F46*E55</f>
        <v>8.2880000000000009E-2</v>
      </c>
      <c r="G55" s="24"/>
      <c r="H55" s="24">
        <f t="shared" si="6"/>
        <v>0</v>
      </c>
      <c r="I55" s="24"/>
      <c r="J55" s="24"/>
      <c r="K55" s="24"/>
      <c r="L55" s="24"/>
      <c r="M55" s="22">
        <f t="shared" si="2"/>
        <v>0</v>
      </c>
    </row>
    <row r="56" spans="1:13" s="37" customFormat="1" ht="12.95">
      <c r="A56" s="43"/>
      <c r="B56" s="44"/>
      <c r="C56" s="45" t="s">
        <v>60</v>
      </c>
      <c r="D56" s="48" t="s">
        <v>59</v>
      </c>
      <c r="E56" s="46">
        <v>1.0149999999999999</v>
      </c>
      <c r="F56" s="47">
        <f>F46*E56</f>
        <v>105.154</v>
      </c>
      <c r="G56" s="24"/>
      <c r="H56" s="24">
        <f t="shared" si="6"/>
        <v>0</v>
      </c>
      <c r="I56" s="24"/>
      <c r="J56" s="24"/>
      <c r="K56" s="24"/>
      <c r="L56" s="24"/>
      <c r="M56" s="22">
        <f t="shared" si="2"/>
        <v>0</v>
      </c>
    </row>
    <row r="57" spans="1:13" s="38" customFormat="1" ht="12.95">
      <c r="A57" s="52"/>
      <c r="B57" s="44"/>
      <c r="C57" s="45" t="s">
        <v>61</v>
      </c>
      <c r="D57" s="23" t="s">
        <v>21</v>
      </c>
      <c r="E57" s="49">
        <v>1.05</v>
      </c>
      <c r="F57" s="47">
        <f>E57*F47</f>
        <v>543.9</v>
      </c>
      <c r="G57" s="24"/>
      <c r="H57" s="24">
        <f t="shared" si="6"/>
        <v>0</v>
      </c>
      <c r="I57" s="24"/>
      <c r="J57" s="24"/>
      <c r="K57" s="24"/>
      <c r="L57" s="24"/>
      <c r="M57" s="22">
        <f t="shared" si="2"/>
        <v>0</v>
      </c>
    </row>
    <row r="58" spans="1:13" s="42" customFormat="1" ht="31.5" customHeight="1">
      <c r="A58" s="40"/>
      <c r="B58" s="41">
        <v>6</v>
      </c>
      <c r="C58" s="19" t="s">
        <v>62</v>
      </c>
      <c r="D58" s="28" t="s">
        <v>27</v>
      </c>
      <c r="E58" s="20"/>
      <c r="F58" s="21">
        <f>56*0.3</f>
        <v>16.8</v>
      </c>
      <c r="G58" s="24"/>
      <c r="H58" s="24"/>
      <c r="I58" s="24"/>
      <c r="J58" s="24"/>
      <c r="K58" s="24"/>
      <c r="L58" s="24"/>
      <c r="M58" s="22">
        <f t="shared" si="2"/>
        <v>0</v>
      </c>
    </row>
    <row r="59" spans="1:13" s="37" customFormat="1" ht="14.25" customHeight="1">
      <c r="A59" s="43"/>
      <c r="B59" s="44"/>
      <c r="C59" s="45" t="s">
        <v>47</v>
      </c>
      <c r="D59" s="34" t="s">
        <v>27</v>
      </c>
      <c r="E59" s="46">
        <v>1</v>
      </c>
      <c r="F59" s="47">
        <f>F58/E59</f>
        <v>16.8</v>
      </c>
      <c r="G59" s="24"/>
      <c r="H59" s="24"/>
      <c r="I59" s="24"/>
      <c r="J59" s="25">
        <f>I59*F59</f>
        <v>0</v>
      </c>
      <c r="K59" s="24"/>
      <c r="L59" s="24"/>
      <c r="M59" s="22">
        <f t="shared" si="2"/>
        <v>0</v>
      </c>
    </row>
    <row r="60" spans="1:13" s="37" customFormat="1" ht="14.25" customHeight="1">
      <c r="A60" s="43"/>
      <c r="B60" s="44"/>
      <c r="C60" s="45" t="s">
        <v>48</v>
      </c>
      <c r="D60" s="34" t="s">
        <v>27</v>
      </c>
      <c r="E60" s="46">
        <v>1</v>
      </c>
      <c r="F60" s="47">
        <f>E60*F58</f>
        <v>16.8</v>
      </c>
      <c r="G60" s="24"/>
      <c r="H60" s="24"/>
      <c r="I60" s="24"/>
      <c r="J60" s="24"/>
      <c r="K60" s="24"/>
      <c r="L60" s="24">
        <f t="shared" ref="L60:L61" si="7">K60*F60</f>
        <v>0</v>
      </c>
      <c r="M60" s="22">
        <f t="shared" si="2"/>
        <v>0</v>
      </c>
    </row>
    <row r="61" spans="1:13" s="37" customFormat="1" ht="15" customHeight="1">
      <c r="A61" s="43"/>
      <c r="B61" s="44"/>
      <c r="C61" s="45" t="s">
        <v>49</v>
      </c>
      <c r="D61" s="48" t="s">
        <v>50</v>
      </c>
      <c r="E61" s="49">
        <v>9.3299999999999994E-2</v>
      </c>
      <c r="F61" s="47">
        <f>E61*F58</f>
        <v>1.5674399999999999</v>
      </c>
      <c r="G61" s="24"/>
      <c r="H61" s="24"/>
      <c r="I61" s="24"/>
      <c r="J61" s="24"/>
      <c r="K61" s="24"/>
      <c r="L61" s="24">
        <f t="shared" si="7"/>
        <v>0</v>
      </c>
      <c r="M61" s="22">
        <f t="shared" si="2"/>
        <v>0</v>
      </c>
    </row>
    <row r="62" spans="1:13" s="37" customFormat="1" ht="12.95">
      <c r="A62" s="43"/>
      <c r="B62" s="44"/>
      <c r="C62" s="45" t="s">
        <v>51</v>
      </c>
      <c r="D62" s="48"/>
      <c r="E62" s="49"/>
      <c r="F62" s="47"/>
      <c r="G62" s="24"/>
      <c r="H62" s="24"/>
      <c r="I62" s="24"/>
      <c r="J62" s="24"/>
      <c r="K62" s="24"/>
      <c r="L62" s="24"/>
      <c r="M62" s="22">
        <f t="shared" si="2"/>
        <v>0</v>
      </c>
    </row>
    <row r="63" spans="1:13" s="51" customFormat="1" ht="12.95">
      <c r="A63" s="50"/>
      <c r="B63" s="44"/>
      <c r="C63" s="45" t="s">
        <v>52</v>
      </c>
      <c r="D63" s="48" t="s">
        <v>53</v>
      </c>
      <c r="E63" s="46">
        <v>1</v>
      </c>
      <c r="F63" s="47">
        <f>E63*F59</f>
        <v>16.8</v>
      </c>
      <c r="G63" s="24"/>
      <c r="H63" s="24">
        <f t="shared" ref="H63:H69" si="8">G63*F63</f>
        <v>0</v>
      </c>
      <c r="I63" s="24"/>
      <c r="J63" s="24"/>
      <c r="K63" s="24"/>
      <c r="L63" s="24"/>
      <c r="M63" s="22">
        <f t="shared" si="2"/>
        <v>0</v>
      </c>
    </row>
    <row r="64" spans="1:13" s="51" customFormat="1" ht="12.95">
      <c r="A64" s="50"/>
      <c r="B64" s="44"/>
      <c r="C64" s="45" t="s">
        <v>54</v>
      </c>
      <c r="D64" s="48" t="s">
        <v>55</v>
      </c>
      <c r="E64" s="49">
        <f>0.002*1000/100</f>
        <v>0.02</v>
      </c>
      <c r="F64" s="47">
        <f>E64*F58</f>
        <v>0.33600000000000002</v>
      </c>
      <c r="G64" s="24"/>
      <c r="H64" s="24">
        <f t="shared" si="8"/>
        <v>0</v>
      </c>
      <c r="I64" s="24"/>
      <c r="J64" s="24"/>
      <c r="K64" s="24"/>
      <c r="L64" s="24"/>
      <c r="M64" s="22">
        <f t="shared" si="2"/>
        <v>0</v>
      </c>
    </row>
    <row r="65" spans="1:13" s="51" customFormat="1" ht="15" customHeight="1">
      <c r="A65" s="50"/>
      <c r="B65" s="44"/>
      <c r="C65" s="45" t="s">
        <v>56</v>
      </c>
      <c r="D65" s="48" t="s">
        <v>55</v>
      </c>
      <c r="E65" s="46">
        <v>1.5</v>
      </c>
      <c r="F65" s="47">
        <f>E65*F58</f>
        <v>25.200000000000003</v>
      </c>
      <c r="G65" s="24"/>
      <c r="H65" s="24">
        <f t="shared" si="8"/>
        <v>0</v>
      </c>
      <c r="I65" s="24"/>
      <c r="J65" s="24"/>
      <c r="K65" s="24"/>
      <c r="L65" s="24"/>
      <c r="M65" s="22">
        <f t="shared" si="2"/>
        <v>0</v>
      </c>
    </row>
    <row r="66" spans="1:13" s="37" customFormat="1" ht="12.95">
      <c r="A66" s="43"/>
      <c r="B66" s="44"/>
      <c r="C66" s="45" t="s">
        <v>57</v>
      </c>
      <c r="D66" s="48" t="s">
        <v>53</v>
      </c>
      <c r="E66" s="49">
        <v>7.5399999999999995E-2</v>
      </c>
      <c r="F66" s="47">
        <f>F58*E66</f>
        <v>1.2667200000000001</v>
      </c>
      <c r="G66" s="24"/>
      <c r="H66" s="24">
        <f t="shared" si="8"/>
        <v>0</v>
      </c>
      <c r="I66" s="24"/>
      <c r="J66" s="24"/>
      <c r="K66" s="24"/>
      <c r="L66" s="24"/>
      <c r="M66" s="22">
        <f t="shared" si="2"/>
        <v>0</v>
      </c>
    </row>
    <row r="67" spans="1:13" s="37" customFormat="1" ht="12.95">
      <c r="A67" s="43"/>
      <c r="B67" s="44"/>
      <c r="C67" s="45" t="s">
        <v>58</v>
      </c>
      <c r="D67" s="48" t="s">
        <v>59</v>
      </c>
      <c r="E67" s="49">
        <v>8.0000000000000004E-4</v>
      </c>
      <c r="F67" s="47">
        <f>F58*E67</f>
        <v>1.3440000000000001E-2</v>
      </c>
      <c r="G67" s="24"/>
      <c r="H67" s="24">
        <f t="shared" si="8"/>
        <v>0</v>
      </c>
      <c r="I67" s="24"/>
      <c r="J67" s="24"/>
      <c r="K67" s="24"/>
      <c r="L67" s="24"/>
      <c r="M67" s="22">
        <f t="shared" si="2"/>
        <v>0</v>
      </c>
    </row>
    <row r="68" spans="1:13" s="37" customFormat="1" ht="12.95">
      <c r="A68" s="43"/>
      <c r="B68" s="44"/>
      <c r="C68" s="45" t="s">
        <v>60</v>
      </c>
      <c r="D68" s="48" t="s">
        <v>59</v>
      </c>
      <c r="E68" s="46">
        <v>1.0149999999999999</v>
      </c>
      <c r="F68" s="47">
        <f>F58*E68</f>
        <v>17.052</v>
      </c>
      <c r="G68" s="24"/>
      <c r="H68" s="24">
        <f t="shared" si="8"/>
        <v>0</v>
      </c>
      <c r="I68" s="24"/>
      <c r="J68" s="24"/>
      <c r="K68" s="24"/>
      <c r="L68" s="24"/>
      <c r="M68" s="22">
        <f t="shared" si="2"/>
        <v>0</v>
      </c>
    </row>
    <row r="69" spans="1:13" s="38" customFormat="1" ht="12.95">
      <c r="A69" s="52"/>
      <c r="B69" s="44"/>
      <c r="C69" s="45" t="s">
        <v>61</v>
      </c>
      <c r="D69" s="23" t="s">
        <v>21</v>
      </c>
      <c r="E69" s="49">
        <v>1.05</v>
      </c>
      <c r="F69" s="47">
        <f>E69*F59</f>
        <v>17.64</v>
      </c>
      <c r="G69" s="24"/>
      <c r="H69" s="24">
        <f t="shared" si="8"/>
        <v>0</v>
      </c>
      <c r="I69" s="24"/>
      <c r="J69" s="24"/>
      <c r="K69" s="24"/>
      <c r="L69" s="24"/>
      <c r="M69" s="22">
        <f t="shared" si="2"/>
        <v>0</v>
      </c>
    </row>
    <row r="70" spans="1:13" s="42" customFormat="1" ht="31.5" customHeight="1">
      <c r="A70" s="40"/>
      <c r="B70" s="41">
        <f>B58+1</f>
        <v>7</v>
      </c>
      <c r="C70" s="19" t="s">
        <v>63</v>
      </c>
      <c r="D70" s="28" t="s">
        <v>27</v>
      </c>
      <c r="E70" s="20"/>
      <c r="F70" s="21">
        <f>122*0.3*0.2</f>
        <v>7.32</v>
      </c>
      <c r="G70" s="24"/>
      <c r="H70" s="24"/>
      <c r="I70" s="24"/>
      <c r="J70" s="24"/>
      <c r="K70" s="24"/>
      <c r="L70" s="24"/>
      <c r="M70" s="22">
        <f t="shared" ref="M70:M81" si="9">L70+J70+H70</f>
        <v>0</v>
      </c>
    </row>
    <row r="71" spans="1:13" s="37" customFormat="1" ht="14.25" customHeight="1">
      <c r="A71" s="43"/>
      <c r="B71" s="44"/>
      <c r="C71" s="45" t="s">
        <v>47</v>
      </c>
      <c r="D71" s="34" t="s">
        <v>29</v>
      </c>
      <c r="E71" s="46">
        <f>0.2*0.3</f>
        <v>0.06</v>
      </c>
      <c r="F71" s="47">
        <f>F70/E71</f>
        <v>122.00000000000001</v>
      </c>
      <c r="G71" s="24"/>
      <c r="H71" s="24"/>
      <c r="I71" s="24"/>
      <c r="J71" s="25">
        <f>I71*F71</f>
        <v>0</v>
      </c>
      <c r="K71" s="24"/>
      <c r="L71" s="24"/>
      <c r="M71" s="22">
        <f t="shared" si="9"/>
        <v>0</v>
      </c>
    </row>
    <row r="72" spans="1:13" s="37" customFormat="1" ht="14.25" customHeight="1">
      <c r="A72" s="43"/>
      <c r="B72" s="44"/>
      <c r="C72" s="45" t="s">
        <v>48</v>
      </c>
      <c r="D72" s="34" t="s">
        <v>27</v>
      </c>
      <c r="E72" s="46">
        <v>1</v>
      </c>
      <c r="F72" s="47">
        <f>E72*F70</f>
        <v>7.32</v>
      </c>
      <c r="G72" s="24"/>
      <c r="H72" s="24"/>
      <c r="I72" s="24"/>
      <c r="J72" s="24"/>
      <c r="K72" s="24"/>
      <c r="L72" s="24">
        <f t="shared" ref="L72:L73" si="10">K72*F72</f>
        <v>0</v>
      </c>
      <c r="M72" s="22">
        <f t="shared" si="9"/>
        <v>0</v>
      </c>
    </row>
    <row r="73" spans="1:13" s="37" customFormat="1" ht="15" customHeight="1">
      <c r="A73" s="43"/>
      <c r="B73" s="44"/>
      <c r="C73" s="45" t="s">
        <v>49</v>
      </c>
      <c r="D73" s="48" t="s">
        <v>50</v>
      </c>
      <c r="E73" s="49">
        <v>9.3299999999999994E-2</v>
      </c>
      <c r="F73" s="47">
        <f>E73*F70</f>
        <v>0.68295600000000001</v>
      </c>
      <c r="G73" s="24"/>
      <c r="H73" s="24"/>
      <c r="I73" s="24"/>
      <c r="J73" s="24"/>
      <c r="K73" s="24"/>
      <c r="L73" s="24">
        <f t="shared" si="10"/>
        <v>0</v>
      </c>
      <c r="M73" s="22">
        <f t="shared" si="9"/>
        <v>0</v>
      </c>
    </row>
    <row r="74" spans="1:13" s="37" customFormat="1" ht="12.95">
      <c r="A74" s="43"/>
      <c r="B74" s="44"/>
      <c r="C74" s="45" t="s">
        <v>51</v>
      </c>
      <c r="D74" s="48"/>
      <c r="E74" s="49"/>
      <c r="F74" s="47"/>
      <c r="G74" s="24"/>
      <c r="H74" s="24"/>
      <c r="I74" s="24"/>
      <c r="J74" s="24"/>
      <c r="K74" s="24"/>
      <c r="L74" s="24"/>
      <c r="M74" s="22">
        <f t="shared" si="9"/>
        <v>0</v>
      </c>
    </row>
    <row r="75" spans="1:13" s="51" customFormat="1" ht="12.95">
      <c r="A75" s="50"/>
      <c r="B75" s="44"/>
      <c r="C75" s="45" t="s">
        <v>52</v>
      </c>
      <c r="D75" s="48" t="s">
        <v>53</v>
      </c>
      <c r="E75" s="46">
        <v>1</v>
      </c>
      <c r="F75" s="47">
        <f>E75*F71</f>
        <v>122.00000000000001</v>
      </c>
      <c r="G75" s="24"/>
      <c r="H75" s="24">
        <f t="shared" ref="H75:H81" si="11">G75*F75</f>
        <v>0</v>
      </c>
      <c r="I75" s="24"/>
      <c r="J75" s="24"/>
      <c r="K75" s="24"/>
      <c r="L75" s="24"/>
      <c r="M75" s="22">
        <f t="shared" si="9"/>
        <v>0</v>
      </c>
    </row>
    <row r="76" spans="1:13" s="51" customFormat="1" ht="12.95">
      <c r="A76" s="50"/>
      <c r="B76" s="44"/>
      <c r="C76" s="45" t="s">
        <v>54</v>
      </c>
      <c r="D76" s="48" t="s">
        <v>55</v>
      </c>
      <c r="E76" s="49">
        <f>0.002*1000/100</f>
        <v>0.02</v>
      </c>
      <c r="F76" s="47">
        <f>E76*F70</f>
        <v>0.1464</v>
      </c>
      <c r="G76" s="24"/>
      <c r="H76" s="24">
        <f t="shared" si="11"/>
        <v>0</v>
      </c>
      <c r="I76" s="24"/>
      <c r="J76" s="24"/>
      <c r="K76" s="24"/>
      <c r="L76" s="24"/>
      <c r="M76" s="22">
        <f t="shared" si="9"/>
        <v>0</v>
      </c>
    </row>
    <row r="77" spans="1:13" s="51" customFormat="1" ht="15" customHeight="1">
      <c r="A77" s="50"/>
      <c r="B77" s="44"/>
      <c r="C77" s="45" t="s">
        <v>56</v>
      </c>
      <c r="D77" s="48" t="s">
        <v>55</v>
      </c>
      <c r="E77" s="46">
        <v>1.5</v>
      </c>
      <c r="F77" s="47">
        <f>E77*F70</f>
        <v>10.98</v>
      </c>
      <c r="G77" s="24"/>
      <c r="H77" s="24">
        <f t="shared" si="11"/>
        <v>0</v>
      </c>
      <c r="I77" s="24"/>
      <c r="J77" s="24"/>
      <c r="K77" s="24"/>
      <c r="L77" s="24"/>
      <c r="M77" s="22">
        <f t="shared" si="9"/>
        <v>0</v>
      </c>
    </row>
    <row r="78" spans="1:13" s="37" customFormat="1" ht="12.95">
      <c r="A78" s="43"/>
      <c r="B78" s="44"/>
      <c r="C78" s="45" t="s">
        <v>57</v>
      </c>
      <c r="D78" s="48" t="s">
        <v>53</v>
      </c>
      <c r="E78" s="49">
        <v>7.5399999999999995E-2</v>
      </c>
      <c r="F78" s="47">
        <f>F70*E78</f>
        <v>0.55192799999999997</v>
      </c>
      <c r="G78" s="24"/>
      <c r="H78" s="24">
        <f t="shared" si="11"/>
        <v>0</v>
      </c>
      <c r="I78" s="24"/>
      <c r="J78" s="24"/>
      <c r="K78" s="24"/>
      <c r="L78" s="24"/>
      <c r="M78" s="22">
        <f t="shared" si="9"/>
        <v>0</v>
      </c>
    </row>
    <row r="79" spans="1:13" s="37" customFormat="1" ht="12.95">
      <c r="A79" s="43"/>
      <c r="B79" s="44"/>
      <c r="C79" s="45" t="s">
        <v>58</v>
      </c>
      <c r="D79" s="48" t="s">
        <v>59</v>
      </c>
      <c r="E79" s="49">
        <v>8.0000000000000004E-4</v>
      </c>
      <c r="F79" s="47">
        <f>F70*E79</f>
        <v>5.8560000000000001E-3</v>
      </c>
      <c r="G79" s="24"/>
      <c r="H79" s="24">
        <f t="shared" si="11"/>
        <v>0</v>
      </c>
      <c r="I79" s="24"/>
      <c r="J79" s="24"/>
      <c r="K79" s="24"/>
      <c r="L79" s="24"/>
      <c r="M79" s="22">
        <f t="shared" si="9"/>
        <v>0</v>
      </c>
    </row>
    <row r="80" spans="1:13" s="37" customFormat="1" ht="12.95">
      <c r="A80" s="43"/>
      <c r="B80" s="44"/>
      <c r="C80" s="45" t="s">
        <v>60</v>
      </c>
      <c r="D80" s="48" t="s">
        <v>59</v>
      </c>
      <c r="E80" s="46">
        <v>1.0149999999999999</v>
      </c>
      <c r="F80" s="47">
        <f>F70*E80</f>
        <v>7.4297999999999993</v>
      </c>
      <c r="G80" s="24"/>
      <c r="H80" s="24">
        <f t="shared" si="11"/>
        <v>0</v>
      </c>
      <c r="I80" s="24"/>
      <c r="J80" s="24"/>
      <c r="K80" s="24"/>
      <c r="L80" s="24"/>
      <c r="M80" s="22">
        <f t="shared" si="9"/>
        <v>0</v>
      </c>
    </row>
    <row r="81" spans="1:13" s="38" customFormat="1" ht="12.95">
      <c r="A81" s="52"/>
      <c r="B81" s="44"/>
      <c r="C81" s="45" t="s">
        <v>64</v>
      </c>
      <c r="D81" s="23" t="s">
        <v>65</v>
      </c>
      <c r="E81" s="49">
        <v>1.05</v>
      </c>
      <c r="F81" s="47">
        <f>(122*0.62*4*1.1*1.05)/1000</f>
        <v>0.34945680000000007</v>
      </c>
      <c r="G81" s="24"/>
      <c r="H81" s="24">
        <f t="shared" si="11"/>
        <v>0</v>
      </c>
      <c r="I81" s="24"/>
      <c r="J81" s="24"/>
      <c r="K81" s="24"/>
      <c r="L81" s="24"/>
      <c r="M81" s="22">
        <f t="shared" si="9"/>
        <v>0</v>
      </c>
    </row>
    <row r="82" spans="1:13" s="54" customFormat="1" ht="39" customHeight="1">
      <c r="A82" s="53"/>
      <c r="B82" s="41">
        <v>7</v>
      </c>
      <c r="C82" s="19" t="s">
        <v>66</v>
      </c>
      <c r="D82" s="28" t="s">
        <v>21</v>
      </c>
      <c r="E82" s="20"/>
      <c r="F82" s="21">
        <v>518</v>
      </c>
      <c r="G82" s="24"/>
      <c r="H82" s="24"/>
      <c r="I82" s="24"/>
      <c r="J82" s="24"/>
      <c r="K82" s="24"/>
      <c r="L82" s="24"/>
      <c r="M82" s="22">
        <f t="shared" si="2"/>
        <v>0</v>
      </c>
    </row>
    <row r="83" spans="1:13" s="57" customFormat="1" ht="12.95">
      <c r="A83" s="55"/>
      <c r="B83" s="56"/>
      <c r="C83" s="45" t="s">
        <v>47</v>
      </c>
      <c r="D83" s="34" t="s">
        <v>21</v>
      </c>
      <c r="E83" s="48">
        <v>1</v>
      </c>
      <c r="F83" s="24">
        <f>F82</f>
        <v>518</v>
      </c>
      <c r="G83" s="24"/>
      <c r="H83" s="24"/>
      <c r="I83" s="24"/>
      <c r="J83" s="25">
        <f>I83*F83</f>
        <v>0</v>
      </c>
      <c r="K83" s="24"/>
      <c r="L83" s="24"/>
      <c r="M83" s="22">
        <f t="shared" si="2"/>
        <v>0</v>
      </c>
    </row>
    <row r="84" spans="1:13" s="63" customFormat="1" ht="24">
      <c r="A84" s="58"/>
      <c r="B84" s="26">
        <f>B82+1</f>
        <v>8</v>
      </c>
      <c r="C84" s="59" t="s">
        <v>67</v>
      </c>
      <c r="D84" s="60" t="s">
        <v>34</v>
      </c>
      <c r="E84" s="61"/>
      <c r="F84" s="62">
        <f>(4.31*F89+9.02*F88)/1000</f>
        <v>1.3386</v>
      </c>
      <c r="G84" s="24"/>
      <c r="H84" s="24"/>
      <c r="I84" s="24"/>
      <c r="J84" s="24"/>
      <c r="K84" s="24"/>
      <c r="L84" s="24"/>
      <c r="M84" s="22">
        <f t="shared" si="2"/>
        <v>0</v>
      </c>
    </row>
    <row r="85" spans="1:13" s="63" customFormat="1" ht="12.95">
      <c r="A85" s="58"/>
      <c r="B85" s="64"/>
      <c r="C85" s="65" t="s">
        <v>22</v>
      </c>
      <c r="D85" s="34" t="s">
        <v>21</v>
      </c>
      <c r="E85" s="66"/>
      <c r="F85" s="67">
        <v>98</v>
      </c>
      <c r="G85" s="24"/>
      <c r="H85" s="24"/>
      <c r="I85" s="24"/>
      <c r="J85" s="25">
        <f>I85*F85</f>
        <v>0</v>
      </c>
      <c r="K85" s="24"/>
      <c r="L85" s="24"/>
      <c r="M85" s="22">
        <f t="shared" si="2"/>
        <v>0</v>
      </c>
    </row>
    <row r="86" spans="1:13" s="63" customFormat="1" ht="12.95">
      <c r="A86" s="58"/>
      <c r="B86" s="64"/>
      <c r="C86" s="65" t="s">
        <v>68</v>
      </c>
      <c r="D86" s="68" t="s">
        <v>69</v>
      </c>
      <c r="E86" s="66">
        <v>8.6199999999999992</v>
      </c>
      <c r="F86" s="67">
        <f>E86*F84</f>
        <v>11.538732</v>
      </c>
      <c r="G86" s="24"/>
      <c r="H86" s="24"/>
      <c r="I86" s="24"/>
      <c r="J86" s="24"/>
      <c r="K86" s="24"/>
      <c r="L86" s="24">
        <f t="shared" ref="L86" si="12">K86*F86</f>
        <v>0</v>
      </c>
      <c r="M86" s="22">
        <f t="shared" si="2"/>
        <v>0</v>
      </c>
    </row>
    <row r="87" spans="1:13" s="63" customFormat="1" ht="12.95">
      <c r="A87" s="58"/>
      <c r="B87" s="64"/>
      <c r="C87" s="65" t="s">
        <v>51</v>
      </c>
      <c r="D87" s="68"/>
      <c r="E87" s="66"/>
      <c r="F87" s="67"/>
      <c r="G87" s="24"/>
      <c r="H87" s="24"/>
      <c r="I87" s="24"/>
      <c r="J87" s="24"/>
      <c r="K87" s="24"/>
      <c r="L87" s="24"/>
      <c r="M87" s="22">
        <f t="shared" si="2"/>
        <v>0</v>
      </c>
    </row>
    <row r="88" spans="1:13" s="63" customFormat="1" ht="12.95">
      <c r="A88" s="58"/>
      <c r="B88" s="64"/>
      <c r="C88" s="65" t="s">
        <v>70</v>
      </c>
      <c r="D88" s="68" t="s">
        <v>29</v>
      </c>
      <c r="E88" s="66" t="s">
        <v>71</v>
      </c>
      <c r="F88" s="67">
        <v>114</v>
      </c>
      <c r="G88" s="24"/>
      <c r="H88" s="24">
        <f t="shared" ref="H88:H92" si="13">G88*F88</f>
        <v>0</v>
      </c>
      <c r="I88" s="24"/>
      <c r="J88" s="24"/>
      <c r="K88" s="24"/>
      <c r="L88" s="24"/>
      <c r="M88" s="22">
        <f t="shared" si="2"/>
        <v>0</v>
      </c>
    </row>
    <row r="89" spans="1:13" s="63" customFormat="1" ht="12.95">
      <c r="A89" s="58"/>
      <c r="B89" s="64"/>
      <c r="C89" s="65" t="s">
        <v>72</v>
      </c>
      <c r="D89" s="68" t="s">
        <v>29</v>
      </c>
      <c r="E89" s="66" t="s">
        <v>71</v>
      </c>
      <c r="F89" s="67">
        <v>72</v>
      </c>
      <c r="G89" s="24"/>
      <c r="H89" s="24">
        <f t="shared" si="13"/>
        <v>0</v>
      </c>
      <c r="I89" s="24"/>
      <c r="J89" s="24"/>
      <c r="K89" s="24"/>
      <c r="L89" s="24"/>
      <c r="M89" s="22">
        <f t="shared" si="2"/>
        <v>0</v>
      </c>
    </row>
    <row r="90" spans="1:13" s="63" customFormat="1" ht="12.95">
      <c r="A90" s="58"/>
      <c r="B90" s="64"/>
      <c r="C90" s="65" t="s">
        <v>73</v>
      </c>
      <c r="D90" s="68" t="s">
        <v>30</v>
      </c>
      <c r="E90" s="66" t="s">
        <v>71</v>
      </c>
      <c r="F90" s="67">
        <v>12</v>
      </c>
      <c r="G90" s="24"/>
      <c r="H90" s="24">
        <f t="shared" si="13"/>
        <v>0</v>
      </c>
      <c r="I90" s="24"/>
      <c r="J90" s="24"/>
      <c r="K90" s="24"/>
      <c r="L90" s="24"/>
      <c r="M90" s="22">
        <f t="shared" si="2"/>
        <v>0</v>
      </c>
    </row>
    <row r="91" spans="1:13" s="63" customFormat="1" ht="12.95">
      <c r="A91" s="58"/>
      <c r="B91" s="64"/>
      <c r="C91" s="65" t="s">
        <v>74</v>
      </c>
      <c r="D91" s="68" t="s">
        <v>55</v>
      </c>
      <c r="E91" s="66">
        <v>45</v>
      </c>
      <c r="F91" s="67">
        <f>E91*F84</f>
        <v>60.237000000000002</v>
      </c>
      <c r="G91" s="24"/>
      <c r="H91" s="24">
        <f t="shared" si="13"/>
        <v>0</v>
      </c>
      <c r="I91" s="24"/>
      <c r="J91" s="24"/>
      <c r="K91" s="24"/>
      <c r="L91" s="24"/>
      <c r="M91" s="22">
        <f t="shared" si="2"/>
        <v>0</v>
      </c>
    </row>
    <row r="92" spans="1:13" s="63" customFormat="1" ht="12.95">
      <c r="A92" s="58"/>
      <c r="B92" s="64"/>
      <c r="C92" s="65" t="s">
        <v>75</v>
      </c>
      <c r="D92" s="68" t="s">
        <v>24</v>
      </c>
      <c r="E92" s="66">
        <v>3.68</v>
      </c>
      <c r="F92" s="67">
        <f>E92*F84</f>
        <v>4.9260480000000006</v>
      </c>
      <c r="G92" s="24"/>
      <c r="H92" s="24">
        <f t="shared" si="13"/>
        <v>0</v>
      </c>
      <c r="I92" s="24"/>
      <c r="J92" s="24"/>
      <c r="K92" s="24"/>
      <c r="L92" s="24"/>
      <c r="M92" s="22">
        <f t="shared" si="2"/>
        <v>0</v>
      </c>
    </row>
    <row r="93" spans="1:13" s="63" customFormat="1" ht="24">
      <c r="A93" s="58"/>
      <c r="B93" s="26">
        <f>B84+1</f>
        <v>9</v>
      </c>
      <c r="C93" s="59" t="s">
        <v>76</v>
      </c>
      <c r="D93" s="60" t="s">
        <v>34</v>
      </c>
      <c r="E93" s="61"/>
      <c r="F93" s="62">
        <f>F84</f>
        <v>1.3386</v>
      </c>
      <c r="G93" s="24"/>
      <c r="H93" s="24"/>
      <c r="I93" s="24"/>
      <c r="J93" s="24"/>
      <c r="K93" s="24"/>
      <c r="L93" s="24"/>
      <c r="M93" s="22">
        <f t="shared" si="2"/>
        <v>0</v>
      </c>
    </row>
    <row r="94" spans="1:13" s="63" customFormat="1" ht="12.95">
      <c r="A94" s="58"/>
      <c r="B94" s="64"/>
      <c r="C94" s="65" t="s">
        <v>22</v>
      </c>
      <c r="D94" s="68" t="s">
        <v>34</v>
      </c>
      <c r="E94" s="66">
        <v>1</v>
      </c>
      <c r="F94" s="67">
        <f>E94*F93</f>
        <v>1.3386</v>
      </c>
      <c r="G94" s="24"/>
      <c r="H94" s="24"/>
      <c r="I94" s="24"/>
      <c r="J94" s="25">
        <f>I94*F94</f>
        <v>0</v>
      </c>
      <c r="K94" s="24"/>
      <c r="L94" s="24"/>
      <c r="M94" s="22">
        <f t="shared" si="2"/>
        <v>0</v>
      </c>
    </row>
    <row r="95" spans="1:13" s="63" customFormat="1" ht="12.95">
      <c r="A95" s="58"/>
      <c r="B95" s="64"/>
      <c r="C95" s="65" t="s">
        <v>51</v>
      </c>
      <c r="D95" s="68"/>
      <c r="E95" s="66"/>
      <c r="F95" s="67"/>
      <c r="G95" s="24"/>
      <c r="H95" s="24"/>
      <c r="I95" s="24"/>
      <c r="J95" s="24"/>
      <c r="K95" s="24"/>
      <c r="L95" s="24"/>
      <c r="M95" s="22">
        <f t="shared" si="2"/>
        <v>0</v>
      </c>
    </row>
    <row r="96" spans="1:13" s="63" customFormat="1" ht="12.95">
      <c r="A96" s="58"/>
      <c r="B96" s="64"/>
      <c r="C96" s="65" t="s">
        <v>77</v>
      </c>
      <c r="D96" s="68" t="s">
        <v>55</v>
      </c>
      <c r="E96" s="66">
        <v>50</v>
      </c>
      <c r="F96" s="67">
        <f>E96*F93</f>
        <v>66.930000000000007</v>
      </c>
      <c r="G96" s="24"/>
      <c r="H96" s="24">
        <f t="shared" ref="H96" si="14">G96*F96</f>
        <v>0</v>
      </c>
      <c r="I96" s="24"/>
      <c r="J96" s="24"/>
      <c r="K96" s="24"/>
      <c r="L96" s="24"/>
      <c r="M96" s="22">
        <f t="shared" si="2"/>
        <v>0</v>
      </c>
    </row>
    <row r="97" spans="1:13" customFormat="1">
      <c r="A97" s="69"/>
      <c r="B97" s="70">
        <f>B93+1</f>
        <v>10</v>
      </c>
      <c r="C97" s="71" t="s">
        <v>78</v>
      </c>
      <c r="D97" s="72" t="s">
        <v>79</v>
      </c>
      <c r="E97" s="72"/>
      <c r="F97" s="62">
        <v>66</v>
      </c>
      <c r="G97" s="27"/>
      <c r="H97" s="27"/>
      <c r="I97" s="27"/>
      <c r="J97" s="27"/>
      <c r="K97" s="27"/>
      <c r="L97" s="27"/>
      <c r="M97" s="22">
        <f t="shared" si="2"/>
        <v>0</v>
      </c>
    </row>
    <row r="98" spans="1:13" customFormat="1">
      <c r="A98" s="69"/>
      <c r="B98" s="70"/>
      <c r="C98" s="73" t="s">
        <v>22</v>
      </c>
      <c r="D98" s="48" t="s">
        <v>80</v>
      </c>
      <c r="E98" s="67">
        <v>1</v>
      </c>
      <c r="F98" s="67">
        <f>E98*F97</f>
        <v>66</v>
      </c>
      <c r="G98" s="74"/>
      <c r="H98" s="74"/>
      <c r="I98" s="74"/>
      <c r="J98" s="25">
        <f>I98*F98</f>
        <v>0</v>
      </c>
      <c r="K98" s="74"/>
      <c r="L98" s="24"/>
      <c r="M98" s="22">
        <f t="shared" si="2"/>
        <v>0</v>
      </c>
    </row>
    <row r="99" spans="1:13" customFormat="1">
      <c r="A99" s="69"/>
      <c r="B99" s="70"/>
      <c r="C99" s="73" t="s">
        <v>81</v>
      </c>
      <c r="D99" s="48" t="s">
        <v>24</v>
      </c>
      <c r="E99" s="67">
        <v>1</v>
      </c>
      <c r="F99" s="67">
        <f>E99*F97</f>
        <v>66</v>
      </c>
      <c r="G99" s="74"/>
      <c r="H99" s="74"/>
      <c r="I99" s="74"/>
      <c r="J99" s="24"/>
      <c r="K99" s="74"/>
      <c r="L99" s="24">
        <f t="shared" ref="L99" si="15">K99*F99</f>
        <v>0</v>
      </c>
      <c r="M99" s="22">
        <f t="shared" si="2"/>
        <v>0</v>
      </c>
    </row>
    <row r="100" spans="1:13" customFormat="1">
      <c r="A100" s="69"/>
      <c r="B100" s="70"/>
      <c r="C100" s="73" t="s">
        <v>51</v>
      </c>
      <c r="D100" s="48"/>
      <c r="E100" s="67"/>
      <c r="F100" s="67"/>
      <c r="G100" s="24"/>
      <c r="H100" s="24"/>
      <c r="I100" s="24"/>
      <c r="J100" s="24"/>
      <c r="K100" s="24"/>
      <c r="L100" s="24"/>
      <c r="M100" s="22">
        <f t="shared" si="2"/>
        <v>0</v>
      </c>
    </row>
    <row r="101" spans="1:13" customFormat="1">
      <c r="A101" s="69"/>
      <c r="B101" s="70"/>
      <c r="C101" s="73" t="s">
        <v>82</v>
      </c>
      <c r="D101" s="48" t="s">
        <v>80</v>
      </c>
      <c r="E101" s="67">
        <v>1.02</v>
      </c>
      <c r="F101" s="67">
        <f>E101*F97</f>
        <v>67.320000000000007</v>
      </c>
      <c r="G101" s="24"/>
      <c r="H101" s="24">
        <f t="shared" ref="H101:H104" si="16">G101*F101</f>
        <v>0</v>
      </c>
      <c r="I101" s="24"/>
      <c r="J101" s="24"/>
      <c r="K101" s="24"/>
      <c r="L101" s="24"/>
      <c r="M101" s="22">
        <f t="shared" si="2"/>
        <v>0</v>
      </c>
    </row>
    <row r="102" spans="1:13" customFormat="1">
      <c r="A102" s="69"/>
      <c r="B102" s="75"/>
      <c r="C102" s="73" t="s">
        <v>83</v>
      </c>
      <c r="D102" s="48" t="s">
        <v>29</v>
      </c>
      <c r="E102" s="67">
        <v>0.42016806722689082</v>
      </c>
      <c r="F102" s="67">
        <f>E102*F97</f>
        <v>27.731092436974794</v>
      </c>
      <c r="G102" s="24"/>
      <c r="H102" s="24">
        <f t="shared" si="16"/>
        <v>0</v>
      </c>
      <c r="I102" s="24"/>
      <c r="J102" s="24"/>
      <c r="K102" s="24"/>
      <c r="L102" s="24"/>
      <c r="M102" s="22">
        <f t="shared" si="2"/>
        <v>0</v>
      </c>
    </row>
    <row r="103" spans="1:13" customFormat="1">
      <c r="A103" s="69"/>
      <c r="B103" s="75"/>
      <c r="C103" s="73" t="s">
        <v>84</v>
      </c>
      <c r="D103" s="48" t="s">
        <v>30</v>
      </c>
      <c r="E103" s="67">
        <v>3</v>
      </c>
      <c r="F103" s="67">
        <f>E103*F97</f>
        <v>198</v>
      </c>
      <c r="G103" s="24"/>
      <c r="H103" s="24">
        <f t="shared" si="16"/>
        <v>0</v>
      </c>
      <c r="I103" s="24"/>
      <c r="J103" s="24"/>
      <c r="K103" s="24"/>
      <c r="L103" s="24"/>
      <c r="M103" s="22">
        <f t="shared" si="2"/>
        <v>0</v>
      </c>
    </row>
    <row r="104" spans="1:13" customFormat="1">
      <c r="A104" s="69"/>
      <c r="B104" s="75"/>
      <c r="C104" s="65" t="s">
        <v>75</v>
      </c>
      <c r="D104" s="48" t="s">
        <v>24</v>
      </c>
      <c r="E104" s="67">
        <v>1</v>
      </c>
      <c r="F104" s="67">
        <f>E104*F97</f>
        <v>66</v>
      </c>
      <c r="G104" s="24"/>
      <c r="H104" s="24">
        <f t="shared" si="16"/>
        <v>0</v>
      </c>
      <c r="I104" s="24"/>
      <c r="J104" s="24"/>
      <c r="K104" s="24"/>
      <c r="L104" s="24"/>
      <c r="M104" s="22">
        <f t="shared" si="2"/>
        <v>0</v>
      </c>
    </row>
    <row r="105" spans="1:13" customFormat="1">
      <c r="B105" s="70">
        <f>B97+1</f>
        <v>11</v>
      </c>
      <c r="C105" s="71" t="s">
        <v>85</v>
      </c>
      <c r="D105" s="72" t="s">
        <v>79</v>
      </c>
      <c r="E105" s="72"/>
      <c r="F105" s="62">
        <v>34</v>
      </c>
      <c r="G105" s="27"/>
      <c r="H105" s="27"/>
      <c r="I105" s="27"/>
      <c r="J105" s="27"/>
      <c r="K105" s="27"/>
      <c r="L105" s="27"/>
      <c r="M105" s="22">
        <f t="shared" si="2"/>
        <v>0</v>
      </c>
    </row>
    <row r="106" spans="1:13" customFormat="1">
      <c r="B106" s="70"/>
      <c r="C106" s="73" t="s">
        <v>22</v>
      </c>
      <c r="D106" s="48" t="s">
        <v>80</v>
      </c>
      <c r="E106" s="67">
        <v>1</v>
      </c>
      <c r="F106" s="67">
        <f>F105</f>
        <v>34</v>
      </c>
      <c r="G106" s="24"/>
      <c r="H106" s="24"/>
      <c r="I106" s="24"/>
      <c r="J106" s="25">
        <f>I106*F106</f>
        <v>0</v>
      </c>
      <c r="K106" s="24"/>
      <c r="L106" s="24"/>
      <c r="M106" s="22">
        <f t="shared" si="2"/>
        <v>0</v>
      </c>
    </row>
    <row r="107" spans="1:13" customFormat="1">
      <c r="B107" s="70"/>
      <c r="C107" s="73" t="s">
        <v>81</v>
      </c>
      <c r="D107" s="48" t="s">
        <v>24</v>
      </c>
      <c r="E107" s="67">
        <v>1</v>
      </c>
      <c r="F107" s="67">
        <f>F105</f>
        <v>34</v>
      </c>
      <c r="G107" s="24"/>
      <c r="H107" s="24"/>
      <c r="I107" s="24"/>
      <c r="J107" s="24"/>
      <c r="K107" s="24"/>
      <c r="L107" s="24">
        <f t="shared" ref="L107" si="17">K107*F107</f>
        <v>0</v>
      </c>
      <c r="M107" s="22">
        <f t="shared" si="2"/>
        <v>0</v>
      </c>
    </row>
    <row r="108" spans="1:13" customFormat="1">
      <c r="B108" s="70"/>
      <c r="C108" s="73" t="s">
        <v>51</v>
      </c>
      <c r="D108" s="48"/>
      <c r="E108" s="67">
        <v>0</v>
      </c>
      <c r="F108" s="67"/>
      <c r="G108" s="24"/>
      <c r="H108" s="24"/>
      <c r="I108" s="24"/>
      <c r="J108" s="24"/>
      <c r="K108" s="24"/>
      <c r="L108" s="24"/>
      <c r="M108" s="22">
        <f t="shared" ref="M108:M269" si="18">L108+J108+H108</f>
        <v>0</v>
      </c>
    </row>
    <row r="109" spans="1:13" customFormat="1">
      <c r="B109" s="70"/>
      <c r="C109" s="73" t="s">
        <v>86</v>
      </c>
      <c r="D109" s="48" t="s">
        <v>80</v>
      </c>
      <c r="E109" s="67">
        <v>1.02</v>
      </c>
      <c r="F109" s="67">
        <f>F105*1.02</f>
        <v>34.68</v>
      </c>
      <c r="G109" s="24"/>
      <c r="H109" s="24">
        <f t="shared" ref="H109:H113" si="19">G109*F109</f>
        <v>0</v>
      </c>
      <c r="I109" s="24"/>
      <c r="J109" s="24"/>
      <c r="K109" s="24"/>
      <c r="L109" s="24"/>
      <c r="M109" s="22">
        <f t="shared" si="18"/>
        <v>0</v>
      </c>
    </row>
    <row r="110" spans="1:13" customFormat="1">
      <c r="B110" s="75"/>
      <c r="C110" s="73" t="s">
        <v>87</v>
      </c>
      <c r="D110" s="48" t="s">
        <v>29</v>
      </c>
      <c r="E110" s="67"/>
      <c r="F110" s="67">
        <v>9</v>
      </c>
      <c r="G110" s="24"/>
      <c r="H110" s="24">
        <f t="shared" si="19"/>
        <v>0</v>
      </c>
      <c r="I110" s="24"/>
      <c r="J110" s="24"/>
      <c r="K110" s="24"/>
      <c r="L110" s="24"/>
      <c r="M110" s="22">
        <f t="shared" si="18"/>
        <v>0</v>
      </c>
    </row>
    <row r="111" spans="1:13" customFormat="1">
      <c r="B111" s="75"/>
      <c r="C111" s="73" t="s">
        <v>84</v>
      </c>
      <c r="D111" s="48" t="s">
        <v>30</v>
      </c>
      <c r="E111" s="67">
        <v>3</v>
      </c>
      <c r="F111" s="67">
        <f>E111*F105</f>
        <v>102</v>
      </c>
      <c r="G111" s="24"/>
      <c r="H111" s="24">
        <f t="shared" si="19"/>
        <v>0</v>
      </c>
      <c r="I111" s="24"/>
      <c r="J111" s="24"/>
      <c r="K111" s="24"/>
      <c r="L111" s="24"/>
      <c r="M111" s="22">
        <f t="shared" si="18"/>
        <v>0</v>
      </c>
    </row>
    <row r="112" spans="1:13" customFormat="1">
      <c r="B112" s="75"/>
      <c r="C112" s="73" t="s">
        <v>88</v>
      </c>
      <c r="D112" s="48" t="s">
        <v>30</v>
      </c>
      <c r="E112" s="67">
        <v>7.5703598147488421E-2</v>
      </c>
      <c r="F112" s="67">
        <f>E112*F105</f>
        <v>2.5739223370146065</v>
      </c>
      <c r="G112" s="24"/>
      <c r="H112" s="24">
        <f t="shared" si="19"/>
        <v>0</v>
      </c>
      <c r="I112" s="24"/>
      <c r="J112" s="24"/>
      <c r="K112" s="24"/>
      <c r="L112" s="24"/>
      <c r="M112" s="22">
        <f t="shared" si="18"/>
        <v>0</v>
      </c>
    </row>
    <row r="113" spans="1:13" customFormat="1">
      <c r="B113" s="75"/>
      <c r="C113" s="65" t="s">
        <v>75</v>
      </c>
      <c r="D113" s="48" t="s">
        <v>24</v>
      </c>
      <c r="E113" s="67">
        <v>1</v>
      </c>
      <c r="F113" s="67">
        <f>E113*F105</f>
        <v>34</v>
      </c>
      <c r="G113" s="24"/>
      <c r="H113" s="24">
        <f t="shared" si="19"/>
        <v>0</v>
      </c>
      <c r="I113" s="24"/>
      <c r="J113" s="24"/>
      <c r="K113" s="24"/>
      <c r="L113" s="24"/>
      <c r="M113" s="22">
        <f t="shared" si="18"/>
        <v>0</v>
      </c>
    </row>
    <row r="114" spans="1:13" s="13" customFormat="1" ht="24">
      <c r="A114" s="9"/>
      <c r="B114" s="26">
        <f>B105+1</f>
        <v>12</v>
      </c>
      <c r="C114" s="27" t="s">
        <v>89</v>
      </c>
      <c r="D114" s="28" t="s">
        <v>21</v>
      </c>
      <c r="E114" s="67"/>
      <c r="F114" s="29">
        <f>1.5*2.2*2</f>
        <v>6.6000000000000005</v>
      </c>
      <c r="G114" s="30"/>
      <c r="H114" s="29"/>
      <c r="I114" s="30"/>
      <c r="J114" s="29"/>
      <c r="K114" s="30"/>
      <c r="L114" s="29"/>
      <c r="M114" s="22">
        <f t="shared" si="18"/>
        <v>0</v>
      </c>
    </row>
    <row r="115" spans="1:13" s="13" customFormat="1" ht="12.95">
      <c r="A115" s="9"/>
      <c r="B115" s="32"/>
      <c r="C115" s="33" t="s">
        <v>22</v>
      </c>
      <c r="D115" s="34" t="s">
        <v>21</v>
      </c>
      <c r="E115" s="67">
        <v>1</v>
      </c>
      <c r="F115" s="24">
        <f>F114*E115</f>
        <v>6.6000000000000005</v>
      </c>
      <c r="G115" s="35"/>
      <c r="H115" s="24"/>
      <c r="I115" s="35"/>
      <c r="J115" s="25">
        <f>I115*F115</f>
        <v>0</v>
      </c>
      <c r="K115" s="35"/>
      <c r="L115" s="24"/>
      <c r="M115" s="22">
        <f t="shared" si="18"/>
        <v>0</v>
      </c>
    </row>
    <row r="116" spans="1:13" s="13" customFormat="1" ht="12.95">
      <c r="A116" s="9"/>
      <c r="B116" s="32"/>
      <c r="C116" s="33" t="s">
        <v>23</v>
      </c>
      <c r="D116" s="34" t="s">
        <v>24</v>
      </c>
      <c r="E116" s="67">
        <v>1.7000000000000001E-2</v>
      </c>
      <c r="F116" s="24">
        <f>E116*F114</f>
        <v>0.11220000000000002</v>
      </c>
      <c r="G116" s="35"/>
      <c r="H116" s="24"/>
      <c r="I116" s="35"/>
      <c r="J116" s="24"/>
      <c r="K116" s="35"/>
      <c r="L116" s="24">
        <f t="shared" ref="L116" si="20">K116*F116</f>
        <v>0</v>
      </c>
      <c r="M116" s="22">
        <f t="shared" si="18"/>
        <v>0</v>
      </c>
    </row>
    <row r="117" spans="1:13" customFormat="1">
      <c r="A117" s="69"/>
      <c r="B117" s="70"/>
      <c r="C117" s="73" t="s">
        <v>51</v>
      </c>
      <c r="D117" s="48"/>
      <c r="E117" s="67"/>
      <c r="F117" s="67"/>
      <c r="G117" s="24"/>
      <c r="H117" s="24"/>
      <c r="I117" s="24"/>
      <c r="J117" s="24"/>
      <c r="K117" s="24"/>
      <c r="L117" s="24"/>
      <c r="M117" s="22">
        <f t="shared" si="18"/>
        <v>0</v>
      </c>
    </row>
    <row r="118" spans="1:13" customFormat="1">
      <c r="A118" s="69"/>
      <c r="B118" s="70"/>
      <c r="C118" s="73" t="s">
        <v>90</v>
      </c>
      <c r="D118" s="48" t="s">
        <v>80</v>
      </c>
      <c r="E118" s="67">
        <v>1</v>
      </c>
      <c r="F118" s="67">
        <f>E118*F114</f>
        <v>6.6000000000000005</v>
      </c>
      <c r="G118" s="24"/>
      <c r="H118" s="24">
        <f t="shared" ref="H118" si="21">G118*F118</f>
        <v>0</v>
      </c>
      <c r="I118" s="24"/>
      <c r="J118" s="24"/>
      <c r="K118" s="24"/>
      <c r="L118" s="24"/>
      <c r="M118" s="22">
        <f t="shared" si="18"/>
        <v>0</v>
      </c>
    </row>
    <row r="119" spans="1:13" s="13" customFormat="1" ht="12.95">
      <c r="A119" s="9"/>
      <c r="B119" s="26">
        <f>B114+1</f>
        <v>13</v>
      </c>
      <c r="C119" s="27" t="s">
        <v>91</v>
      </c>
      <c r="D119" s="28" t="s">
        <v>21</v>
      </c>
      <c r="E119" s="67"/>
      <c r="F119" s="29">
        <f>7*2+4*3</f>
        <v>26</v>
      </c>
      <c r="G119" s="30"/>
      <c r="H119" s="29"/>
      <c r="I119" s="30"/>
      <c r="J119" s="29"/>
      <c r="K119" s="30"/>
      <c r="L119" s="29"/>
      <c r="M119" s="22">
        <f t="shared" si="18"/>
        <v>0</v>
      </c>
    </row>
    <row r="120" spans="1:13" s="13" customFormat="1" ht="12.95">
      <c r="A120" s="9"/>
      <c r="B120" s="32"/>
      <c r="C120" s="33" t="s">
        <v>22</v>
      </c>
      <c r="D120" s="34" t="s">
        <v>21</v>
      </c>
      <c r="E120" s="67">
        <v>1</v>
      </c>
      <c r="F120" s="24">
        <f>F119*E120</f>
        <v>26</v>
      </c>
      <c r="G120" s="35"/>
      <c r="H120" s="24"/>
      <c r="I120" s="35"/>
      <c r="J120" s="25">
        <f>I120*F120</f>
        <v>0</v>
      </c>
      <c r="K120" s="35"/>
      <c r="L120" s="24"/>
      <c r="M120" s="22">
        <f t="shared" si="18"/>
        <v>0</v>
      </c>
    </row>
    <row r="121" spans="1:13" s="13" customFormat="1" ht="12.95">
      <c r="A121" s="9"/>
      <c r="B121" s="32"/>
      <c r="C121" s="33" t="s">
        <v>23</v>
      </c>
      <c r="D121" s="34" t="s">
        <v>24</v>
      </c>
      <c r="E121" s="67">
        <v>1.7000000000000001E-2</v>
      </c>
      <c r="F121" s="24">
        <f>E121*F119</f>
        <v>0.44200000000000006</v>
      </c>
      <c r="G121" s="35"/>
      <c r="H121" s="24"/>
      <c r="I121" s="35"/>
      <c r="J121" s="24"/>
      <c r="K121" s="35"/>
      <c r="L121" s="24">
        <f t="shared" ref="L121" si="22">K121*F121</f>
        <v>0</v>
      </c>
      <c r="M121" s="22">
        <f t="shared" si="18"/>
        <v>0</v>
      </c>
    </row>
    <row r="122" spans="1:13" customFormat="1">
      <c r="A122" s="69"/>
      <c r="B122" s="70"/>
      <c r="C122" s="73" t="s">
        <v>51</v>
      </c>
      <c r="D122" s="48"/>
      <c r="E122" s="67"/>
      <c r="F122" s="67"/>
      <c r="G122" s="24"/>
      <c r="H122" s="24"/>
      <c r="I122" s="24"/>
      <c r="J122" s="24"/>
      <c r="K122" s="24"/>
      <c r="L122" s="24"/>
      <c r="M122" s="22">
        <f t="shared" si="18"/>
        <v>0</v>
      </c>
    </row>
    <row r="123" spans="1:13" customFormat="1">
      <c r="A123" s="69"/>
      <c r="B123" s="70"/>
      <c r="C123" s="73" t="s">
        <v>92</v>
      </c>
      <c r="D123" s="48" t="s">
        <v>80</v>
      </c>
      <c r="E123" s="67">
        <v>1</v>
      </c>
      <c r="F123" s="67">
        <f>3*4</f>
        <v>12</v>
      </c>
      <c r="G123" s="24"/>
      <c r="H123" s="24">
        <f t="shared" ref="H123:H125" si="23">G123*F123</f>
        <v>0</v>
      </c>
      <c r="I123" s="24"/>
      <c r="J123" s="24"/>
      <c r="K123" s="24"/>
      <c r="L123" s="24"/>
      <c r="M123" s="22">
        <f t="shared" si="18"/>
        <v>0</v>
      </c>
    </row>
    <row r="124" spans="1:13" customFormat="1">
      <c r="A124" s="69"/>
      <c r="B124" s="70"/>
      <c r="C124" s="73" t="s">
        <v>93</v>
      </c>
      <c r="D124" s="48" t="s">
        <v>80</v>
      </c>
      <c r="E124" s="67">
        <v>1</v>
      </c>
      <c r="F124" s="67">
        <f>14</f>
        <v>14</v>
      </c>
      <c r="G124" s="24"/>
      <c r="H124" s="24">
        <f t="shared" si="23"/>
        <v>0</v>
      </c>
      <c r="I124" s="24"/>
      <c r="J124" s="24"/>
      <c r="K124" s="24"/>
      <c r="L124" s="24"/>
      <c r="M124" s="22">
        <f t="shared" si="18"/>
        <v>0</v>
      </c>
    </row>
    <row r="125" spans="1:13" customFormat="1">
      <c r="B125" s="75"/>
      <c r="C125" s="65" t="s">
        <v>75</v>
      </c>
      <c r="D125" s="48" t="s">
        <v>24</v>
      </c>
      <c r="E125" s="67">
        <v>0.21</v>
      </c>
      <c r="F125" s="67">
        <f>E125*F119</f>
        <v>5.46</v>
      </c>
      <c r="G125" s="24"/>
      <c r="H125" s="24">
        <f t="shared" si="23"/>
        <v>0</v>
      </c>
      <c r="I125" s="24"/>
      <c r="J125" s="24"/>
      <c r="K125" s="24"/>
      <c r="L125" s="24"/>
      <c r="M125" s="22">
        <f t="shared" si="18"/>
        <v>0</v>
      </c>
    </row>
    <row r="126" spans="1:13" s="13" customFormat="1" ht="12.95">
      <c r="A126" s="9"/>
      <c r="B126" s="26">
        <f>B114+1</f>
        <v>13</v>
      </c>
      <c r="C126" s="27" t="s">
        <v>94</v>
      </c>
      <c r="D126" s="28" t="s">
        <v>30</v>
      </c>
      <c r="E126" s="28"/>
      <c r="F126" s="29">
        <v>5</v>
      </c>
      <c r="G126" s="30"/>
      <c r="H126" s="29"/>
      <c r="I126" s="30"/>
      <c r="J126" s="29"/>
      <c r="K126" s="30"/>
      <c r="L126" s="29"/>
      <c r="M126" s="22">
        <f t="shared" si="18"/>
        <v>0</v>
      </c>
    </row>
    <row r="127" spans="1:13" s="13" customFormat="1" ht="12.95">
      <c r="A127" s="9"/>
      <c r="B127" s="32"/>
      <c r="C127" s="33" t="s">
        <v>22</v>
      </c>
      <c r="D127" s="34" t="s">
        <v>30</v>
      </c>
      <c r="E127" s="34">
        <v>1</v>
      </c>
      <c r="F127" s="24">
        <f>F126*E127</f>
        <v>5</v>
      </c>
      <c r="G127" s="35"/>
      <c r="H127" s="24"/>
      <c r="I127" s="35"/>
      <c r="J127" s="25">
        <f>I127*F127</f>
        <v>0</v>
      </c>
      <c r="K127" s="35"/>
      <c r="L127" s="24"/>
      <c r="M127" s="22">
        <f t="shared" si="18"/>
        <v>0</v>
      </c>
    </row>
    <row r="128" spans="1:13" s="13" customFormat="1" ht="12.95">
      <c r="A128" s="9"/>
      <c r="B128" s="32"/>
      <c r="C128" s="33" t="s">
        <v>23</v>
      </c>
      <c r="D128" s="34" t="s">
        <v>24</v>
      </c>
      <c r="E128" s="34">
        <v>1.7000000000000001E-2</v>
      </c>
      <c r="F128" s="24">
        <f>E128*F126</f>
        <v>8.5000000000000006E-2</v>
      </c>
      <c r="G128" s="35"/>
      <c r="H128" s="24"/>
      <c r="I128" s="35"/>
      <c r="J128" s="24"/>
      <c r="K128" s="35"/>
      <c r="L128" s="24">
        <f t="shared" ref="L128" si="24">K128*F128</f>
        <v>0</v>
      </c>
      <c r="M128" s="22">
        <f t="shared" si="18"/>
        <v>0</v>
      </c>
    </row>
    <row r="129" spans="1:13" customFormat="1">
      <c r="A129" s="69"/>
      <c r="B129" s="70"/>
      <c r="C129" s="73" t="s">
        <v>51</v>
      </c>
      <c r="D129" s="48"/>
      <c r="E129" s="67"/>
      <c r="F129" s="67"/>
      <c r="G129" s="24"/>
      <c r="H129" s="24"/>
      <c r="I129" s="24"/>
      <c r="J129" s="24"/>
      <c r="K129" s="24"/>
      <c r="L129" s="24"/>
      <c r="M129" s="22">
        <f t="shared" si="18"/>
        <v>0</v>
      </c>
    </row>
    <row r="130" spans="1:13" customFormat="1">
      <c r="A130" s="69"/>
      <c r="B130" s="70"/>
      <c r="C130" s="73" t="s">
        <v>95</v>
      </c>
      <c r="D130" s="48" t="s">
        <v>30</v>
      </c>
      <c r="E130" s="67">
        <v>1</v>
      </c>
      <c r="F130" s="67">
        <f>E130*F126</f>
        <v>5</v>
      </c>
      <c r="G130" s="24"/>
      <c r="H130" s="24">
        <f t="shared" ref="H130" si="25">G130*F130</f>
        <v>0</v>
      </c>
      <c r="I130" s="24"/>
      <c r="J130" s="24"/>
      <c r="K130" s="24"/>
      <c r="L130" s="24"/>
      <c r="M130" s="22">
        <f t="shared" si="18"/>
        <v>0</v>
      </c>
    </row>
    <row r="131" spans="1:13" s="13" customFormat="1" ht="12.95">
      <c r="A131" s="9"/>
      <c r="B131" s="26">
        <f>B126+1</f>
        <v>14</v>
      </c>
      <c r="C131" s="27" t="s">
        <v>96</v>
      </c>
      <c r="D131" s="28" t="s">
        <v>21</v>
      </c>
      <c r="E131" s="28"/>
      <c r="F131" s="29">
        <f>0.9*0.6*4</f>
        <v>2.16</v>
      </c>
      <c r="G131" s="30"/>
      <c r="H131" s="29"/>
      <c r="I131" s="30"/>
      <c r="J131" s="29"/>
      <c r="K131" s="30"/>
      <c r="L131" s="29"/>
      <c r="M131" s="22">
        <f t="shared" si="18"/>
        <v>0</v>
      </c>
    </row>
    <row r="132" spans="1:13" s="13" customFormat="1" ht="12.95">
      <c r="A132" s="9"/>
      <c r="B132" s="32"/>
      <c r="C132" s="33" t="s">
        <v>22</v>
      </c>
      <c r="D132" s="34" t="s">
        <v>21</v>
      </c>
      <c r="E132" s="34">
        <v>1</v>
      </c>
      <c r="F132" s="24">
        <f>F131*E132</f>
        <v>2.16</v>
      </c>
      <c r="G132" s="35"/>
      <c r="H132" s="24"/>
      <c r="I132" s="35"/>
      <c r="J132" s="25">
        <f>I132*F132</f>
        <v>0</v>
      </c>
      <c r="K132" s="35"/>
      <c r="L132" s="24"/>
      <c r="M132" s="22">
        <f t="shared" si="18"/>
        <v>0</v>
      </c>
    </row>
    <row r="133" spans="1:13" s="13" customFormat="1" ht="12.95">
      <c r="A133" s="9"/>
      <c r="B133" s="32"/>
      <c r="C133" s="33" t="s">
        <v>23</v>
      </c>
      <c r="D133" s="34" t="s">
        <v>24</v>
      </c>
      <c r="E133" s="34">
        <v>1.7000000000000001E-2</v>
      </c>
      <c r="F133" s="24">
        <f>E133*F131</f>
        <v>3.6720000000000003E-2</v>
      </c>
      <c r="G133" s="35"/>
      <c r="H133" s="24"/>
      <c r="I133" s="35"/>
      <c r="J133" s="24"/>
      <c r="K133" s="35"/>
      <c r="L133" s="24">
        <f t="shared" ref="L133" si="26">K133*F133</f>
        <v>0</v>
      </c>
      <c r="M133" s="22">
        <f t="shared" si="18"/>
        <v>0</v>
      </c>
    </row>
    <row r="134" spans="1:13" customFormat="1">
      <c r="A134" s="69"/>
      <c r="B134" s="70"/>
      <c r="C134" s="73" t="s">
        <v>51</v>
      </c>
      <c r="D134" s="48"/>
      <c r="E134" s="67"/>
      <c r="F134" s="67"/>
      <c r="G134" s="24"/>
      <c r="H134" s="24"/>
      <c r="I134" s="24"/>
      <c r="J134" s="24"/>
      <c r="K134" s="24"/>
      <c r="L134" s="24"/>
      <c r="M134" s="22">
        <f t="shared" si="18"/>
        <v>0</v>
      </c>
    </row>
    <row r="135" spans="1:13" customFormat="1">
      <c r="A135" s="69"/>
      <c r="B135" s="70"/>
      <c r="C135" s="73" t="s">
        <v>97</v>
      </c>
      <c r="D135" s="48" t="s">
        <v>80</v>
      </c>
      <c r="E135" s="67">
        <v>1</v>
      </c>
      <c r="F135" s="67">
        <f>E135*F131</f>
        <v>2.16</v>
      </c>
      <c r="G135" s="24"/>
      <c r="H135" s="24">
        <f t="shared" ref="H135" si="27">G135*F135</f>
        <v>0</v>
      </c>
      <c r="I135" s="24"/>
      <c r="J135" s="24"/>
      <c r="K135" s="24"/>
      <c r="L135" s="24"/>
      <c r="M135" s="22">
        <f t="shared" si="18"/>
        <v>0</v>
      </c>
    </row>
    <row r="136" spans="1:13" s="13" customFormat="1" ht="12.95">
      <c r="A136" s="9"/>
      <c r="B136" s="26">
        <f>B131+1</f>
        <v>15</v>
      </c>
      <c r="C136" s="27" t="s">
        <v>98</v>
      </c>
      <c r="D136" s="28" t="s">
        <v>30</v>
      </c>
      <c r="E136" s="28"/>
      <c r="F136" s="29">
        <v>24</v>
      </c>
      <c r="G136" s="30"/>
      <c r="H136" s="29"/>
      <c r="I136" s="30"/>
      <c r="J136" s="29"/>
      <c r="K136" s="30"/>
      <c r="L136" s="29"/>
      <c r="M136" s="22">
        <f t="shared" si="18"/>
        <v>0</v>
      </c>
    </row>
    <row r="137" spans="1:13" s="13" customFormat="1" ht="12.95">
      <c r="A137" s="9"/>
      <c r="B137" s="32"/>
      <c r="C137" s="33" t="s">
        <v>22</v>
      </c>
      <c r="D137" s="34" t="s">
        <v>30</v>
      </c>
      <c r="E137" s="34">
        <v>1</v>
      </c>
      <c r="F137" s="24">
        <f>F136*E137</f>
        <v>24</v>
      </c>
      <c r="G137" s="35"/>
      <c r="H137" s="24"/>
      <c r="I137" s="35"/>
      <c r="J137" s="25">
        <f t="shared" ref="J137" si="28">I137*F137</f>
        <v>0</v>
      </c>
      <c r="K137" s="35"/>
      <c r="L137" s="24"/>
      <c r="M137" s="22">
        <f t="shared" si="18"/>
        <v>0</v>
      </c>
    </row>
    <row r="138" spans="1:13" customFormat="1">
      <c r="A138" s="69"/>
      <c r="B138" s="70"/>
      <c r="C138" s="73" t="s">
        <v>51</v>
      </c>
      <c r="D138" s="48"/>
      <c r="E138" s="67"/>
      <c r="F138" s="67"/>
      <c r="G138" s="24"/>
      <c r="H138" s="24"/>
      <c r="I138" s="24"/>
      <c r="J138" s="24"/>
      <c r="K138" s="24"/>
      <c r="L138" s="24"/>
      <c r="M138" s="22">
        <f t="shared" si="18"/>
        <v>0</v>
      </c>
    </row>
    <row r="139" spans="1:13" customFormat="1" ht="24">
      <c r="A139" s="69"/>
      <c r="B139" s="70"/>
      <c r="C139" s="73" t="s">
        <v>99</v>
      </c>
      <c r="D139" s="48" t="s">
        <v>30</v>
      </c>
      <c r="E139" s="67">
        <v>1</v>
      </c>
      <c r="F139" s="67">
        <f>E139*F136</f>
        <v>24</v>
      </c>
      <c r="G139" s="24"/>
      <c r="H139" s="24">
        <f t="shared" ref="H139" si="29">G139*F139</f>
        <v>0</v>
      </c>
      <c r="I139" s="24"/>
      <c r="J139" s="24"/>
      <c r="K139" s="24"/>
      <c r="L139" s="24"/>
      <c r="M139" s="22">
        <f t="shared" si="18"/>
        <v>0</v>
      </c>
    </row>
    <row r="140" spans="1:13" s="13" customFormat="1" ht="12.95">
      <c r="A140" s="9"/>
      <c r="B140" s="26">
        <f>B136+1</f>
        <v>16</v>
      </c>
      <c r="C140" s="27" t="s">
        <v>100</v>
      </c>
      <c r="D140" s="28" t="s">
        <v>21</v>
      </c>
      <c r="E140" s="28"/>
      <c r="F140" s="29">
        <f>123*2</f>
        <v>246</v>
      </c>
      <c r="G140" s="30"/>
      <c r="H140" s="29"/>
      <c r="I140" s="30"/>
      <c r="J140" s="29"/>
      <c r="K140" s="30"/>
      <c r="L140" s="29"/>
      <c r="M140" s="22">
        <f t="shared" ref="M140:M143" si="30">L140+J140+H140</f>
        <v>0</v>
      </c>
    </row>
    <row r="141" spans="1:13" s="13" customFormat="1" ht="13.5">
      <c r="A141" s="9"/>
      <c r="B141" s="32"/>
      <c r="C141" s="33" t="s">
        <v>22</v>
      </c>
      <c r="D141" s="48" t="s">
        <v>80</v>
      </c>
      <c r="E141" s="34">
        <v>1</v>
      </c>
      <c r="F141" s="24">
        <f>F140*E141</f>
        <v>246</v>
      </c>
      <c r="G141" s="35"/>
      <c r="H141" s="24"/>
      <c r="I141" s="35"/>
      <c r="J141" s="25">
        <f t="shared" ref="J141" si="31">I141*F141</f>
        <v>0</v>
      </c>
      <c r="K141" s="35"/>
      <c r="L141" s="24"/>
      <c r="M141" s="22">
        <f t="shared" si="30"/>
        <v>0</v>
      </c>
    </row>
    <row r="142" spans="1:13" customFormat="1">
      <c r="A142" s="69"/>
      <c r="B142" s="70"/>
      <c r="C142" s="73" t="s">
        <v>51</v>
      </c>
      <c r="D142" s="48"/>
      <c r="E142" s="67"/>
      <c r="F142" s="67"/>
      <c r="G142" s="24"/>
      <c r="H142" s="24"/>
      <c r="I142" s="24"/>
      <c r="J142" s="24"/>
      <c r="K142" s="24"/>
      <c r="L142" s="24"/>
      <c r="M142" s="22">
        <f t="shared" si="30"/>
        <v>0</v>
      </c>
    </row>
    <row r="143" spans="1:13" customFormat="1">
      <c r="A143" s="69"/>
      <c r="B143" s="70"/>
      <c r="C143" s="73" t="s">
        <v>101</v>
      </c>
      <c r="D143" s="48" t="s">
        <v>80</v>
      </c>
      <c r="E143" s="67">
        <v>1</v>
      </c>
      <c r="F143" s="67">
        <f>E143*F140</f>
        <v>246</v>
      </c>
      <c r="G143" s="24"/>
      <c r="H143" s="24">
        <f t="shared" ref="H143" si="32">G143*F143</f>
        <v>0</v>
      </c>
      <c r="I143" s="24"/>
      <c r="J143" s="24"/>
      <c r="K143" s="24"/>
      <c r="L143" s="24"/>
      <c r="M143" s="22">
        <f t="shared" si="30"/>
        <v>0</v>
      </c>
    </row>
    <row r="144" spans="1:13" s="63" customFormat="1" ht="12.95">
      <c r="A144" s="58"/>
      <c r="B144" s="26">
        <f>B140+1</f>
        <v>17</v>
      </c>
      <c r="C144" s="59" t="s">
        <v>102</v>
      </c>
      <c r="D144" s="28" t="s">
        <v>30</v>
      </c>
      <c r="E144" s="61"/>
      <c r="F144" s="62">
        <v>1</v>
      </c>
      <c r="G144" s="24"/>
      <c r="H144" s="24"/>
      <c r="I144" s="24"/>
      <c r="J144" s="24"/>
      <c r="K144" s="24"/>
      <c r="L144" s="24"/>
      <c r="M144" s="22">
        <f t="shared" si="18"/>
        <v>0</v>
      </c>
    </row>
    <row r="145" spans="1:16" s="63" customFormat="1" ht="12.95">
      <c r="A145" s="58"/>
      <c r="B145" s="64"/>
      <c r="C145" s="65" t="s">
        <v>22</v>
      </c>
      <c r="D145" s="34" t="s">
        <v>30</v>
      </c>
      <c r="E145" s="66">
        <v>1</v>
      </c>
      <c r="F145" s="67">
        <f>E145*F144</f>
        <v>1</v>
      </c>
      <c r="G145" s="24"/>
      <c r="H145" s="24"/>
      <c r="I145" s="24"/>
      <c r="J145" s="25">
        <f t="shared" ref="J145" si="33">I145*F145</f>
        <v>0</v>
      </c>
      <c r="K145" s="24"/>
      <c r="L145" s="24"/>
      <c r="M145" s="22">
        <f t="shared" si="18"/>
        <v>0</v>
      </c>
    </row>
    <row r="146" spans="1:16" s="63" customFormat="1" ht="12.95">
      <c r="A146" s="58"/>
      <c r="B146" s="64"/>
      <c r="C146" s="65" t="s">
        <v>51</v>
      </c>
      <c r="D146" s="68"/>
      <c r="E146" s="66"/>
      <c r="F146" s="67"/>
      <c r="G146" s="24"/>
      <c r="H146" s="24"/>
      <c r="I146" s="24"/>
      <c r="J146" s="24"/>
      <c r="K146" s="24"/>
      <c r="L146" s="24"/>
      <c r="M146" s="22">
        <f t="shared" si="18"/>
        <v>0</v>
      </c>
    </row>
    <row r="147" spans="1:16" s="63" customFormat="1" ht="12.95">
      <c r="A147" s="58"/>
      <c r="B147" s="64"/>
      <c r="C147" s="65" t="s">
        <v>103</v>
      </c>
      <c r="D147" s="48" t="s">
        <v>30</v>
      </c>
      <c r="E147" s="66">
        <v>1</v>
      </c>
      <c r="F147" s="67">
        <f>E147*F144</f>
        <v>1</v>
      </c>
      <c r="G147" s="24"/>
      <c r="H147" s="24">
        <f t="shared" ref="H147:H267" si="34">G147*F147</f>
        <v>0</v>
      </c>
      <c r="I147" s="24"/>
      <c r="J147" s="24"/>
      <c r="K147" s="24"/>
      <c r="L147" s="24"/>
      <c r="M147" s="22">
        <f t="shared" si="18"/>
        <v>0</v>
      </c>
    </row>
    <row r="148" spans="1:16" s="111" customFormat="1" ht="24">
      <c r="B148" s="77">
        <f>B140+1</f>
        <v>17</v>
      </c>
      <c r="C148" s="103" t="s">
        <v>104</v>
      </c>
      <c r="D148" s="28" t="s">
        <v>21</v>
      </c>
      <c r="E148" s="28"/>
      <c r="F148" s="21">
        <v>75.95</v>
      </c>
      <c r="G148" s="104"/>
      <c r="H148" s="21"/>
      <c r="I148" s="104"/>
      <c r="J148" s="21"/>
      <c r="K148" s="104"/>
      <c r="L148" s="21"/>
      <c r="M148" s="78"/>
      <c r="N148" s="112"/>
      <c r="O148" s="13"/>
      <c r="P148" s="13"/>
    </row>
    <row r="149" spans="1:16" s="111" customFormat="1" ht="12.75" customHeight="1">
      <c r="B149" s="32"/>
      <c r="C149" s="33" t="s">
        <v>22</v>
      </c>
      <c r="D149" s="34" t="s">
        <v>21</v>
      </c>
      <c r="E149" s="34">
        <v>1</v>
      </c>
      <c r="F149" s="24">
        <f>E149*F148</f>
        <v>75.95</v>
      </c>
      <c r="G149" s="106"/>
      <c r="H149" s="24"/>
      <c r="I149" s="106"/>
      <c r="J149" s="24">
        <f>I149*F149</f>
        <v>0</v>
      </c>
      <c r="K149" s="106"/>
      <c r="L149" s="24"/>
      <c r="M149" s="107">
        <f t="shared" ref="M149:M154" si="35">H149+J149+L149</f>
        <v>0</v>
      </c>
      <c r="N149" s="112"/>
      <c r="O149" s="13"/>
      <c r="P149" s="13"/>
    </row>
    <row r="150" spans="1:16" s="111" customFormat="1" ht="12.75" customHeight="1">
      <c r="B150" s="32"/>
      <c r="C150" s="33" t="s">
        <v>23</v>
      </c>
      <c r="D150" s="34" t="s">
        <v>24</v>
      </c>
      <c r="E150" s="34">
        <v>2.7E-2</v>
      </c>
      <c r="F150" s="24">
        <f>E150*F148</f>
        <v>2.0506500000000001</v>
      </c>
      <c r="G150" s="106"/>
      <c r="H150" s="24"/>
      <c r="I150" s="106"/>
      <c r="J150" s="24"/>
      <c r="K150" s="106"/>
      <c r="L150" s="24">
        <f>K150*F150</f>
        <v>0</v>
      </c>
      <c r="M150" s="107">
        <f t="shared" si="35"/>
        <v>0</v>
      </c>
      <c r="N150" s="112"/>
      <c r="O150" s="13"/>
      <c r="P150" s="13"/>
    </row>
    <row r="151" spans="1:16" s="111" customFormat="1" ht="12.75" customHeight="1">
      <c r="B151" s="32"/>
      <c r="C151" s="33" t="s">
        <v>51</v>
      </c>
      <c r="D151" s="34"/>
      <c r="E151" s="34"/>
      <c r="F151" s="24"/>
      <c r="G151" s="106"/>
      <c r="H151" s="24"/>
      <c r="I151" s="106"/>
      <c r="J151" s="24"/>
      <c r="K151" s="106"/>
      <c r="L151" s="24"/>
      <c r="M151" s="107">
        <f t="shared" si="35"/>
        <v>0</v>
      </c>
      <c r="N151" s="112"/>
      <c r="O151" s="13"/>
      <c r="P151" s="13"/>
    </row>
    <row r="152" spans="1:16" s="111" customFormat="1" ht="12.75" customHeight="1">
      <c r="B152" s="32"/>
      <c r="C152" s="33" t="s">
        <v>105</v>
      </c>
      <c r="D152" s="34" t="s">
        <v>21</v>
      </c>
      <c r="E152" s="34">
        <v>1.05</v>
      </c>
      <c r="F152" s="24">
        <f>E152*F148</f>
        <v>79.747500000000002</v>
      </c>
      <c r="G152" s="106"/>
      <c r="H152" s="24">
        <f t="shared" ref="H152:H154" si="36">F152*G152</f>
        <v>0</v>
      </c>
      <c r="I152" s="106"/>
      <c r="J152" s="24"/>
      <c r="K152" s="106"/>
      <c r="L152" s="24"/>
      <c r="M152" s="107">
        <f t="shared" si="35"/>
        <v>0</v>
      </c>
      <c r="N152" s="112"/>
      <c r="O152" s="13"/>
      <c r="P152" s="13"/>
    </row>
    <row r="153" spans="1:16" s="111" customFormat="1" ht="12.75" customHeight="1">
      <c r="B153" s="32"/>
      <c r="C153" s="33" t="s">
        <v>106</v>
      </c>
      <c r="D153" s="34" t="s">
        <v>55</v>
      </c>
      <c r="E153" s="34">
        <v>8</v>
      </c>
      <c r="F153" s="24">
        <f>E153*F148</f>
        <v>607.6</v>
      </c>
      <c r="G153" s="106"/>
      <c r="H153" s="24">
        <f t="shared" si="36"/>
        <v>0</v>
      </c>
      <c r="I153" s="106"/>
      <c r="J153" s="24"/>
      <c r="K153" s="106"/>
      <c r="L153" s="24"/>
      <c r="M153" s="107">
        <f t="shared" si="35"/>
        <v>0</v>
      </c>
      <c r="N153" s="112"/>
      <c r="O153" s="13"/>
      <c r="P153" s="13"/>
    </row>
    <row r="154" spans="1:16" s="111" customFormat="1" ht="12.75" customHeight="1">
      <c r="B154" s="32"/>
      <c r="C154" s="33" t="s">
        <v>75</v>
      </c>
      <c r="D154" s="34" t="s">
        <v>24</v>
      </c>
      <c r="E154" s="34">
        <v>3.0000000000000001E-3</v>
      </c>
      <c r="F154" s="24">
        <f>E154*F148</f>
        <v>0.22785000000000002</v>
      </c>
      <c r="G154" s="106"/>
      <c r="H154" s="24">
        <f t="shared" si="36"/>
        <v>0</v>
      </c>
      <c r="I154" s="106"/>
      <c r="J154" s="24"/>
      <c r="K154" s="106"/>
      <c r="L154" s="24"/>
      <c r="M154" s="107">
        <f t="shared" si="35"/>
        <v>0</v>
      </c>
      <c r="N154" s="112"/>
      <c r="O154" s="13"/>
      <c r="P154" s="13"/>
    </row>
    <row r="155" spans="1:16" s="111" customFormat="1" ht="24">
      <c r="B155" s="77">
        <f>B148+1</f>
        <v>18</v>
      </c>
      <c r="C155" s="103" t="s">
        <v>107</v>
      </c>
      <c r="D155" s="28" t="s">
        <v>21</v>
      </c>
      <c r="E155" s="28"/>
      <c r="F155" s="21">
        <f>F148</f>
        <v>75.95</v>
      </c>
      <c r="G155" s="104"/>
      <c r="H155" s="21"/>
      <c r="I155" s="104"/>
      <c r="J155" s="21"/>
      <c r="K155" s="104"/>
      <c r="L155" s="21"/>
      <c r="M155" s="78"/>
      <c r="N155" s="112"/>
      <c r="O155" s="13"/>
      <c r="P155" s="13"/>
    </row>
    <row r="156" spans="1:16" s="111" customFormat="1" ht="12.75" customHeight="1">
      <c r="B156" s="32"/>
      <c r="C156" s="33" t="s">
        <v>22</v>
      </c>
      <c r="D156" s="34" t="s">
        <v>21</v>
      </c>
      <c r="E156" s="34">
        <v>1</v>
      </c>
      <c r="F156" s="24">
        <f>E156*F155</f>
        <v>75.95</v>
      </c>
      <c r="G156" s="106"/>
      <c r="H156" s="24"/>
      <c r="I156" s="106"/>
      <c r="J156" s="24">
        <f>I156*F156</f>
        <v>0</v>
      </c>
      <c r="K156" s="106"/>
      <c r="L156" s="24"/>
      <c r="M156" s="107">
        <f t="shared" ref="M156:M160" si="37">H156+J156+L156</f>
        <v>0</v>
      </c>
      <c r="N156" s="112"/>
      <c r="O156" s="13"/>
      <c r="P156" s="13"/>
    </row>
    <row r="157" spans="1:16" s="111" customFormat="1" ht="12.75" customHeight="1">
      <c r="B157" s="32"/>
      <c r="C157" s="33" t="s">
        <v>23</v>
      </c>
      <c r="D157" s="34" t="s">
        <v>24</v>
      </c>
      <c r="E157" s="34">
        <v>2.7E-2</v>
      </c>
      <c r="F157" s="24">
        <f>E157*F155</f>
        <v>2.0506500000000001</v>
      </c>
      <c r="G157" s="106"/>
      <c r="H157" s="24"/>
      <c r="I157" s="106"/>
      <c r="J157" s="24"/>
      <c r="K157" s="106"/>
      <c r="L157" s="24">
        <f>K157*F157</f>
        <v>0</v>
      </c>
      <c r="M157" s="107">
        <f t="shared" si="37"/>
        <v>0</v>
      </c>
      <c r="N157" s="112"/>
      <c r="O157" s="13"/>
      <c r="P157" s="13"/>
    </row>
    <row r="158" spans="1:16" s="111" customFormat="1" ht="12.75" customHeight="1">
      <c r="B158" s="32"/>
      <c r="C158" s="33" t="s">
        <v>51</v>
      </c>
      <c r="D158" s="34"/>
      <c r="E158" s="34"/>
      <c r="F158" s="24"/>
      <c r="G158" s="106"/>
      <c r="H158" s="24"/>
      <c r="I158" s="106"/>
      <c r="J158" s="24"/>
      <c r="K158" s="106"/>
      <c r="L158" s="24"/>
      <c r="M158" s="107">
        <f t="shared" si="37"/>
        <v>0</v>
      </c>
      <c r="N158" s="112"/>
      <c r="O158" s="13"/>
      <c r="P158" s="13"/>
    </row>
    <row r="159" spans="1:16" s="111" customFormat="1" ht="12.75" customHeight="1">
      <c r="B159" s="32"/>
      <c r="C159" s="33" t="s">
        <v>108</v>
      </c>
      <c r="D159" s="34" t="s">
        <v>109</v>
      </c>
      <c r="E159" s="34">
        <f>0.035</f>
        <v>3.5000000000000003E-2</v>
      </c>
      <c r="F159" s="24">
        <f>E159*F155</f>
        <v>2.6582500000000002</v>
      </c>
      <c r="G159" s="106"/>
      <c r="H159" s="24">
        <f t="shared" ref="H159:H160" si="38">F159*G159</f>
        <v>0</v>
      </c>
      <c r="I159" s="106"/>
      <c r="J159" s="24"/>
      <c r="K159" s="106"/>
      <c r="L159" s="24"/>
      <c r="M159" s="107">
        <f t="shared" si="37"/>
        <v>0</v>
      </c>
      <c r="N159" s="112"/>
      <c r="O159" s="13"/>
      <c r="P159" s="13"/>
    </row>
    <row r="160" spans="1:16" s="111" customFormat="1" ht="12.75" customHeight="1">
      <c r="B160" s="32"/>
      <c r="C160" s="33" t="s">
        <v>75</v>
      </c>
      <c r="D160" s="34" t="s">
        <v>24</v>
      </c>
      <c r="E160" s="34">
        <f>0.087</f>
        <v>8.6999999999999994E-2</v>
      </c>
      <c r="F160" s="24">
        <f>E160*F155</f>
        <v>6.6076499999999996</v>
      </c>
      <c r="G160" s="106"/>
      <c r="H160" s="24">
        <f t="shared" si="38"/>
        <v>0</v>
      </c>
      <c r="I160" s="106"/>
      <c r="J160" s="24"/>
      <c r="K160" s="106"/>
      <c r="L160" s="24"/>
      <c r="M160" s="107">
        <f t="shared" si="37"/>
        <v>0</v>
      </c>
      <c r="N160" s="112"/>
      <c r="O160" s="13"/>
      <c r="P160" s="13"/>
    </row>
    <row r="161" spans="2:16" s="111" customFormat="1" ht="24">
      <c r="B161" s="77">
        <f>B148+1</f>
        <v>18</v>
      </c>
      <c r="C161" s="103" t="s">
        <v>110</v>
      </c>
      <c r="D161" s="28" t="s">
        <v>21</v>
      </c>
      <c r="E161" s="28"/>
      <c r="F161" s="21">
        <f>F155</f>
        <v>75.95</v>
      </c>
      <c r="G161" s="21"/>
      <c r="H161" s="21"/>
      <c r="I161" s="21"/>
      <c r="J161" s="21"/>
      <c r="K161" s="21"/>
      <c r="L161" s="21"/>
      <c r="M161" s="78"/>
      <c r="N161" s="112"/>
      <c r="O161" s="13"/>
      <c r="P161" s="13"/>
    </row>
    <row r="162" spans="2:16" s="113" customFormat="1">
      <c r="B162" s="114"/>
      <c r="C162" s="33" t="s">
        <v>22</v>
      </c>
      <c r="D162" s="34" t="s">
        <v>21</v>
      </c>
      <c r="E162" s="34"/>
      <c r="F162" s="24">
        <f>F161</f>
        <v>75.95</v>
      </c>
      <c r="G162" s="24"/>
      <c r="H162" s="24"/>
      <c r="I162" s="24"/>
      <c r="J162" s="24">
        <f>I162*F162</f>
        <v>0</v>
      </c>
      <c r="K162" s="24"/>
      <c r="L162" s="24"/>
      <c r="M162" s="109">
        <f t="shared" ref="M162:M169" si="39">L162+J162+H162</f>
        <v>0</v>
      </c>
      <c r="N162" s="112"/>
      <c r="O162" s="115"/>
      <c r="P162" s="115"/>
    </row>
    <row r="163" spans="2:16" s="113" customFormat="1">
      <c r="B163" s="114"/>
      <c r="C163" s="33" t="s">
        <v>51</v>
      </c>
      <c r="D163" s="34"/>
      <c r="E163" s="34"/>
      <c r="F163" s="24"/>
      <c r="G163" s="24"/>
      <c r="H163" s="24"/>
      <c r="I163" s="24"/>
      <c r="J163" s="24"/>
      <c r="K163" s="24"/>
      <c r="L163" s="24"/>
      <c r="M163" s="109">
        <f t="shared" si="39"/>
        <v>0</v>
      </c>
      <c r="N163" s="112"/>
      <c r="O163" s="115"/>
      <c r="P163" s="115"/>
    </row>
    <row r="164" spans="2:16" s="116" customFormat="1">
      <c r="B164" s="114"/>
      <c r="C164" s="33" t="s">
        <v>111</v>
      </c>
      <c r="D164" s="34" t="s">
        <v>112</v>
      </c>
      <c r="E164" s="34">
        <v>0.15</v>
      </c>
      <c r="F164" s="24">
        <f>F161*0.15</f>
        <v>11.3925</v>
      </c>
      <c r="G164" s="24"/>
      <c r="H164" s="24">
        <f>G164*F164</f>
        <v>0</v>
      </c>
      <c r="I164" s="24"/>
      <c r="J164" s="24"/>
      <c r="K164" s="24"/>
      <c r="L164" s="24"/>
      <c r="M164" s="109">
        <f t="shared" si="39"/>
        <v>0</v>
      </c>
      <c r="N164" s="112"/>
      <c r="O164" s="117"/>
      <c r="P164" s="117"/>
    </row>
    <row r="165" spans="2:16" s="116" customFormat="1">
      <c r="B165" s="114"/>
      <c r="C165" s="33" t="s">
        <v>113</v>
      </c>
      <c r="D165" s="34" t="s">
        <v>55</v>
      </c>
      <c r="E165" s="34">
        <v>10</v>
      </c>
      <c r="F165" s="24">
        <f>F161*7.5</f>
        <v>569.625</v>
      </c>
      <c r="G165" s="24"/>
      <c r="H165" s="24">
        <f t="shared" ref="H165:H169" si="40">G165*F165</f>
        <v>0</v>
      </c>
      <c r="I165" s="24"/>
      <c r="J165" s="24"/>
      <c r="K165" s="24"/>
      <c r="L165" s="24"/>
      <c r="M165" s="109">
        <f t="shared" si="39"/>
        <v>0</v>
      </c>
      <c r="N165" s="112"/>
      <c r="O165" s="117"/>
      <c r="P165" s="117"/>
    </row>
    <row r="166" spans="2:16" s="116" customFormat="1">
      <c r="B166" s="114"/>
      <c r="C166" s="33" t="s">
        <v>114</v>
      </c>
      <c r="D166" s="34" t="s">
        <v>115</v>
      </c>
      <c r="E166" s="34">
        <v>0.3</v>
      </c>
      <c r="F166" s="24">
        <f>F161*0.3</f>
        <v>22.785</v>
      </c>
      <c r="G166" s="24"/>
      <c r="H166" s="24">
        <f t="shared" si="40"/>
        <v>0</v>
      </c>
      <c r="I166" s="24"/>
      <c r="J166" s="24"/>
      <c r="K166" s="24"/>
      <c r="L166" s="24"/>
      <c r="M166" s="109">
        <f t="shared" si="39"/>
        <v>0</v>
      </c>
      <c r="N166" s="112"/>
      <c r="O166" s="117"/>
      <c r="P166" s="117"/>
    </row>
    <row r="167" spans="2:16" s="116" customFormat="1">
      <c r="B167" s="114"/>
      <c r="C167" s="33" t="s">
        <v>116</v>
      </c>
      <c r="D167" s="34" t="s">
        <v>53</v>
      </c>
      <c r="E167" s="34">
        <v>1.1000000000000001</v>
      </c>
      <c r="F167" s="24">
        <f>F161*1.1</f>
        <v>83.545000000000016</v>
      </c>
      <c r="G167" s="24"/>
      <c r="H167" s="108">
        <f t="shared" si="40"/>
        <v>0</v>
      </c>
      <c r="I167" s="24"/>
      <c r="J167" s="24"/>
      <c r="K167" s="24"/>
      <c r="L167" s="24"/>
      <c r="M167" s="109">
        <f t="shared" si="39"/>
        <v>0</v>
      </c>
      <c r="N167" s="112"/>
      <c r="O167" s="117"/>
      <c r="P167" s="117"/>
    </row>
    <row r="168" spans="2:16" s="116" customFormat="1">
      <c r="B168" s="114"/>
      <c r="C168" s="33" t="s">
        <v>117</v>
      </c>
      <c r="D168" s="34" t="s">
        <v>55</v>
      </c>
      <c r="E168" s="34">
        <v>0.25</v>
      </c>
      <c r="F168" s="24">
        <f>F161*0.25</f>
        <v>18.987500000000001</v>
      </c>
      <c r="G168" s="24"/>
      <c r="H168" s="24">
        <f t="shared" si="40"/>
        <v>0</v>
      </c>
      <c r="I168" s="24"/>
      <c r="J168" s="24"/>
      <c r="K168" s="24"/>
      <c r="L168" s="24"/>
      <c r="M168" s="109">
        <f t="shared" si="39"/>
        <v>0</v>
      </c>
      <c r="N168" s="112"/>
      <c r="O168" s="117"/>
      <c r="P168" s="117"/>
    </row>
    <row r="169" spans="2:16" s="116" customFormat="1">
      <c r="B169" s="114"/>
      <c r="C169" s="33" t="s">
        <v>118</v>
      </c>
      <c r="D169" s="34" t="s">
        <v>55</v>
      </c>
      <c r="E169" s="34">
        <v>4</v>
      </c>
      <c r="F169" s="24">
        <f>F161*4</f>
        <v>303.8</v>
      </c>
      <c r="G169" s="24"/>
      <c r="H169" s="24">
        <f t="shared" si="40"/>
        <v>0</v>
      </c>
      <c r="I169" s="24"/>
      <c r="J169" s="24"/>
      <c r="K169" s="24"/>
      <c r="L169" s="24"/>
      <c r="M169" s="109">
        <f t="shared" si="39"/>
        <v>0</v>
      </c>
      <c r="N169" s="112"/>
      <c r="O169" s="117"/>
      <c r="P169" s="117"/>
    </row>
    <row r="170" spans="2:16" s="118" customFormat="1">
      <c r="B170" s="114"/>
      <c r="C170" s="33" t="s">
        <v>119</v>
      </c>
      <c r="D170" s="34" t="s">
        <v>55</v>
      </c>
      <c r="E170" s="34">
        <v>0.45</v>
      </c>
      <c r="F170" s="24">
        <f>F161*E170</f>
        <v>34.177500000000002</v>
      </c>
      <c r="G170" s="24"/>
      <c r="H170" s="24">
        <f>F170*G170</f>
        <v>0</v>
      </c>
      <c r="I170" s="24"/>
      <c r="J170" s="24"/>
      <c r="K170" s="24"/>
      <c r="L170" s="24"/>
      <c r="M170" s="109">
        <f>H170+J170+L170</f>
        <v>0</v>
      </c>
      <c r="N170" s="112"/>
      <c r="O170" s="119"/>
      <c r="P170" s="119"/>
    </row>
    <row r="171" spans="2:16" s="118" customFormat="1">
      <c r="B171" s="114"/>
      <c r="C171" s="33" t="s">
        <v>75</v>
      </c>
      <c r="D171" s="34" t="s">
        <v>24</v>
      </c>
      <c r="E171" s="34">
        <v>1.2999999999999999E-3</v>
      </c>
      <c r="F171" s="24">
        <f>F169*E171</f>
        <v>0.39494000000000001</v>
      </c>
      <c r="G171" s="24"/>
      <c r="H171" s="108">
        <f t="shared" ref="H171" si="41">F171*G171</f>
        <v>0</v>
      </c>
      <c r="I171" s="24"/>
      <c r="J171" s="24"/>
      <c r="K171" s="24"/>
      <c r="L171" s="24"/>
      <c r="M171" s="109">
        <f>H171+J171+L171</f>
        <v>0</v>
      </c>
      <c r="N171" s="112"/>
      <c r="O171" s="119"/>
      <c r="P171" s="119"/>
    </row>
    <row r="172" spans="2:16" s="102" customFormat="1" ht="24">
      <c r="B172" s="77">
        <f>B161+1</f>
        <v>19</v>
      </c>
      <c r="C172" s="103" t="s">
        <v>120</v>
      </c>
      <c r="D172" s="28" t="s">
        <v>21</v>
      </c>
      <c r="E172" s="28"/>
      <c r="F172" s="21">
        <v>25</v>
      </c>
      <c r="G172" s="104"/>
      <c r="H172" s="21"/>
      <c r="I172" s="104"/>
      <c r="J172" s="21"/>
      <c r="K172" s="104"/>
      <c r="L172" s="21"/>
      <c r="M172" s="78"/>
    </row>
    <row r="173" spans="2:16" s="105" customFormat="1" ht="12">
      <c r="B173" s="32"/>
      <c r="C173" s="33" t="s">
        <v>22</v>
      </c>
      <c r="D173" s="34" t="s">
        <v>21</v>
      </c>
      <c r="E173" s="34">
        <v>1</v>
      </c>
      <c r="F173" s="24">
        <f>E173*F172</f>
        <v>25</v>
      </c>
      <c r="G173" s="106"/>
      <c r="H173" s="24"/>
      <c r="I173" s="106"/>
      <c r="J173" s="24">
        <f>I173*F173</f>
        <v>0</v>
      </c>
      <c r="K173" s="106"/>
      <c r="L173" s="24"/>
      <c r="M173" s="107">
        <f>L173+J173+H173</f>
        <v>0</v>
      </c>
    </row>
    <row r="174" spans="2:16" s="105" customFormat="1" ht="12">
      <c r="B174" s="32"/>
      <c r="C174" s="33" t="s">
        <v>23</v>
      </c>
      <c r="D174" s="34" t="s">
        <v>24</v>
      </c>
      <c r="E174" s="34">
        <v>0.32</v>
      </c>
      <c r="F174" s="24">
        <f>E174*F172</f>
        <v>8</v>
      </c>
      <c r="G174" s="106"/>
      <c r="H174" s="24"/>
      <c r="I174" s="106"/>
      <c r="J174" s="24"/>
      <c r="K174" s="106"/>
      <c r="L174" s="24">
        <f>K174*F174</f>
        <v>0</v>
      </c>
      <c r="M174" s="107">
        <f t="shared" ref="M174:M178" si="42">L174+J174+H174</f>
        <v>0</v>
      </c>
    </row>
    <row r="175" spans="2:16" s="105" customFormat="1" ht="12">
      <c r="B175" s="32"/>
      <c r="C175" s="33" t="s">
        <v>51</v>
      </c>
      <c r="D175" s="34"/>
      <c r="E175" s="34"/>
      <c r="F175" s="24"/>
      <c r="G175" s="106"/>
      <c r="H175" s="24"/>
      <c r="I175" s="106"/>
      <c r="J175" s="24"/>
      <c r="K175" s="106"/>
      <c r="L175" s="24"/>
      <c r="M175" s="107">
        <f t="shared" si="42"/>
        <v>0</v>
      </c>
    </row>
    <row r="176" spans="2:16" s="105" customFormat="1" ht="12">
      <c r="B176" s="32"/>
      <c r="C176" s="33" t="s">
        <v>121</v>
      </c>
      <c r="D176" s="34" t="s">
        <v>21</v>
      </c>
      <c r="E176" s="34">
        <f>1.15</f>
        <v>1.1499999999999999</v>
      </c>
      <c r="F176" s="24">
        <f>E176*F172</f>
        <v>28.749999999999996</v>
      </c>
      <c r="G176" s="106"/>
      <c r="H176" s="24">
        <f>G176*F176</f>
        <v>0</v>
      </c>
      <c r="I176" s="106"/>
      <c r="J176" s="24"/>
      <c r="K176" s="106"/>
      <c r="L176" s="24"/>
      <c r="M176" s="107">
        <f t="shared" si="42"/>
        <v>0</v>
      </c>
    </row>
    <row r="177" spans="2:13" s="105" customFormat="1" ht="12">
      <c r="B177" s="32"/>
      <c r="C177" s="33" t="s">
        <v>122</v>
      </c>
      <c r="D177" s="34" t="s">
        <v>55</v>
      </c>
      <c r="E177" s="34">
        <v>0.45</v>
      </c>
      <c r="F177" s="24">
        <f>E177*F172</f>
        <v>11.25</v>
      </c>
      <c r="G177" s="106"/>
      <c r="H177" s="24">
        <f t="shared" ref="H177:H178" si="43">G177*F177</f>
        <v>0</v>
      </c>
      <c r="I177" s="106"/>
      <c r="J177" s="24"/>
      <c r="K177" s="106"/>
      <c r="L177" s="24"/>
      <c r="M177" s="107">
        <f t="shared" si="42"/>
        <v>0</v>
      </c>
    </row>
    <row r="178" spans="2:13" s="105" customFormat="1" ht="12">
      <c r="B178" s="32"/>
      <c r="C178" s="33" t="s">
        <v>123</v>
      </c>
      <c r="D178" s="34" t="s">
        <v>55</v>
      </c>
      <c r="E178" s="34">
        <v>0.3</v>
      </c>
      <c r="F178" s="24">
        <f>E178*F172</f>
        <v>7.5</v>
      </c>
      <c r="G178" s="106"/>
      <c r="H178" s="24">
        <f t="shared" si="43"/>
        <v>0</v>
      </c>
      <c r="I178" s="106"/>
      <c r="J178" s="24"/>
      <c r="K178" s="106"/>
      <c r="L178" s="24"/>
      <c r="M178" s="107">
        <f t="shared" si="42"/>
        <v>0</v>
      </c>
    </row>
    <row r="179" spans="2:13" s="102" customFormat="1" ht="24">
      <c r="B179" s="77">
        <f>B172+1</f>
        <v>20</v>
      </c>
      <c r="C179" s="103" t="s">
        <v>124</v>
      </c>
      <c r="D179" s="28" t="s">
        <v>27</v>
      </c>
      <c r="E179" s="28"/>
      <c r="F179" s="21">
        <f>F172</f>
        <v>25</v>
      </c>
      <c r="G179" s="104"/>
      <c r="H179" s="21"/>
      <c r="I179" s="104"/>
      <c r="J179" s="21"/>
      <c r="K179" s="104"/>
      <c r="L179" s="21"/>
      <c r="M179" s="78"/>
    </row>
    <row r="180" spans="2:13" s="102" customFormat="1" ht="12">
      <c r="B180" s="32"/>
      <c r="C180" s="33" t="s">
        <v>22</v>
      </c>
      <c r="D180" s="34" t="s">
        <v>27</v>
      </c>
      <c r="E180" s="34">
        <v>1</v>
      </c>
      <c r="F180" s="24">
        <f>F179</f>
        <v>25</v>
      </c>
      <c r="G180" s="106"/>
      <c r="H180" s="24"/>
      <c r="I180" s="106"/>
      <c r="J180" s="24">
        <f>I180*F180</f>
        <v>0</v>
      </c>
      <c r="K180" s="106"/>
      <c r="L180" s="24"/>
      <c r="M180" s="109">
        <f t="shared" ref="M180" si="44">L180+J180+H180</f>
        <v>0</v>
      </c>
    </row>
    <row r="181" spans="2:13" s="102" customFormat="1" ht="12">
      <c r="B181" s="32"/>
      <c r="C181" s="33" t="s">
        <v>51</v>
      </c>
      <c r="D181" s="34"/>
      <c r="E181" s="34"/>
      <c r="F181" s="24"/>
      <c r="G181" s="106"/>
      <c r="H181" s="24"/>
      <c r="I181" s="106"/>
      <c r="J181" s="24"/>
      <c r="K181" s="106"/>
      <c r="L181" s="24"/>
      <c r="M181" s="107"/>
    </row>
    <row r="182" spans="2:13" s="102" customFormat="1" ht="12">
      <c r="B182" s="32"/>
      <c r="C182" s="33" t="s">
        <v>125</v>
      </c>
      <c r="D182" s="34" t="s">
        <v>27</v>
      </c>
      <c r="E182" s="34">
        <f>1.23</f>
        <v>1.23</v>
      </c>
      <c r="F182" s="24">
        <f>E182*F179</f>
        <v>30.75</v>
      </c>
      <c r="G182" s="106"/>
      <c r="H182" s="24">
        <f>G182*F182</f>
        <v>0</v>
      </c>
      <c r="I182" s="106"/>
      <c r="J182" s="24"/>
      <c r="K182" s="106"/>
      <c r="L182" s="24"/>
      <c r="M182" s="109">
        <f t="shared" ref="M182" si="45">L182+J182+H182</f>
        <v>0</v>
      </c>
    </row>
    <row r="183" spans="2:13" s="102" customFormat="1" ht="24">
      <c r="B183" s="77">
        <f>B179+1</f>
        <v>21</v>
      </c>
      <c r="C183" s="103" t="s">
        <v>126</v>
      </c>
      <c r="D183" s="28" t="s">
        <v>21</v>
      </c>
      <c r="E183" s="28"/>
      <c r="F183" s="21">
        <f>F179</f>
        <v>25</v>
      </c>
      <c r="G183" s="104"/>
      <c r="H183" s="21"/>
      <c r="I183" s="104"/>
      <c r="J183" s="21"/>
      <c r="K183" s="104"/>
      <c r="L183" s="21"/>
      <c r="M183" s="78"/>
    </row>
    <row r="184" spans="2:13" s="102" customFormat="1" ht="12">
      <c r="B184" s="32"/>
      <c r="C184" s="33" t="s">
        <v>22</v>
      </c>
      <c r="D184" s="34" t="s">
        <v>21</v>
      </c>
      <c r="E184" s="34">
        <v>1</v>
      </c>
      <c r="F184" s="24">
        <f>F183*E184</f>
        <v>25</v>
      </c>
      <c r="G184" s="106"/>
      <c r="H184" s="24"/>
      <c r="I184" s="106"/>
      <c r="J184" s="24">
        <f>I184*F184</f>
        <v>0</v>
      </c>
      <c r="K184" s="106"/>
      <c r="L184" s="24"/>
      <c r="M184" s="109">
        <f t="shared" ref="M184:M189" si="46">L184+J184+H184</f>
        <v>0</v>
      </c>
    </row>
    <row r="185" spans="2:13" s="102" customFormat="1" ht="12">
      <c r="B185" s="32"/>
      <c r="C185" s="33" t="s">
        <v>23</v>
      </c>
      <c r="D185" s="34" t="s">
        <v>24</v>
      </c>
      <c r="E185" s="34">
        <v>1.7000000000000001E-2</v>
      </c>
      <c r="F185" s="24">
        <f>E185*F183</f>
        <v>0.42500000000000004</v>
      </c>
      <c r="G185" s="106"/>
      <c r="H185" s="24"/>
      <c r="I185" s="106"/>
      <c r="J185" s="24"/>
      <c r="K185" s="106"/>
      <c r="L185" s="24">
        <f>K185*F185</f>
        <v>0</v>
      </c>
      <c r="M185" s="109">
        <f t="shared" si="46"/>
        <v>0</v>
      </c>
    </row>
    <row r="186" spans="2:13" s="102" customFormat="1" ht="12">
      <c r="B186" s="32"/>
      <c r="C186" s="33" t="s">
        <v>51</v>
      </c>
      <c r="D186" s="34"/>
      <c r="E186" s="34"/>
      <c r="F186" s="24"/>
      <c r="G186" s="106"/>
      <c r="H186" s="24"/>
      <c r="I186" s="106"/>
      <c r="J186" s="24"/>
      <c r="K186" s="106"/>
      <c r="L186" s="24"/>
      <c r="M186" s="109">
        <f t="shared" si="46"/>
        <v>0</v>
      </c>
    </row>
    <row r="187" spans="2:13" s="102" customFormat="1" ht="12">
      <c r="B187" s="32"/>
      <c r="C187" s="33" t="s">
        <v>108</v>
      </c>
      <c r="D187" s="34" t="s">
        <v>27</v>
      </c>
      <c r="E187" s="34">
        <v>5.5E-2</v>
      </c>
      <c r="F187" s="24">
        <f>E187*F183</f>
        <v>1.375</v>
      </c>
      <c r="G187" s="110"/>
      <c r="H187" s="108">
        <f>G187*F187</f>
        <v>0</v>
      </c>
      <c r="I187" s="110"/>
      <c r="J187" s="24"/>
      <c r="K187" s="110"/>
      <c r="L187" s="24"/>
      <c r="M187" s="109">
        <f t="shared" si="46"/>
        <v>0</v>
      </c>
    </row>
    <row r="188" spans="2:13" s="102" customFormat="1" ht="12">
      <c r="B188" s="32"/>
      <c r="C188" s="33" t="s">
        <v>127</v>
      </c>
      <c r="D188" s="34" t="s">
        <v>21</v>
      </c>
      <c r="E188" s="34">
        <v>1</v>
      </c>
      <c r="F188" s="24">
        <f>E188*F183</f>
        <v>25</v>
      </c>
      <c r="G188" s="110"/>
      <c r="H188" s="108">
        <f>G188*F188</f>
        <v>0</v>
      </c>
      <c r="I188" s="110"/>
      <c r="J188" s="24"/>
      <c r="K188" s="110"/>
      <c r="L188" s="24"/>
      <c r="M188" s="109">
        <f t="shared" si="46"/>
        <v>0</v>
      </c>
    </row>
    <row r="189" spans="2:13" s="102" customFormat="1" ht="12">
      <c r="B189" s="32"/>
      <c r="C189" s="33" t="s">
        <v>75</v>
      </c>
      <c r="D189" s="34" t="s">
        <v>24</v>
      </c>
      <c r="E189" s="34">
        <v>0.11</v>
      </c>
      <c r="F189" s="24">
        <f>E189*F183</f>
        <v>2.75</v>
      </c>
      <c r="G189" s="106"/>
      <c r="H189" s="108">
        <f t="shared" ref="H189" si="47">F189*G189</f>
        <v>0</v>
      </c>
      <c r="I189" s="106"/>
      <c r="J189" s="24"/>
      <c r="K189" s="106"/>
      <c r="L189" s="24"/>
      <c r="M189" s="109">
        <f t="shared" si="46"/>
        <v>0</v>
      </c>
    </row>
    <row r="190" spans="2:13" s="102" customFormat="1" ht="12">
      <c r="B190" s="77">
        <f>B183+1</f>
        <v>22</v>
      </c>
      <c r="C190" s="103" t="s">
        <v>128</v>
      </c>
      <c r="D190" s="28" t="s">
        <v>21</v>
      </c>
      <c r="E190" s="28"/>
      <c r="F190" s="21">
        <f>26*0.4</f>
        <v>10.4</v>
      </c>
      <c r="G190" s="104"/>
      <c r="H190" s="21"/>
      <c r="I190" s="104"/>
      <c r="J190" s="21"/>
      <c r="K190" s="104"/>
      <c r="L190" s="21"/>
      <c r="M190" s="78"/>
    </row>
    <row r="191" spans="2:13" s="105" customFormat="1" ht="12">
      <c r="B191" s="32"/>
      <c r="C191" s="33" t="s">
        <v>22</v>
      </c>
      <c r="D191" s="34" t="s">
        <v>21</v>
      </c>
      <c r="E191" s="34">
        <v>1</v>
      </c>
      <c r="F191" s="24">
        <f>E191*F190</f>
        <v>10.4</v>
      </c>
      <c r="G191" s="106"/>
      <c r="H191" s="24"/>
      <c r="I191" s="106"/>
      <c r="J191" s="24">
        <f>I191*F191</f>
        <v>0</v>
      </c>
      <c r="K191" s="106"/>
      <c r="L191" s="24"/>
      <c r="M191" s="107">
        <f t="shared" ref="M191:M197" si="48">L191+J191+H191</f>
        <v>0</v>
      </c>
    </row>
    <row r="192" spans="2:13" s="105" customFormat="1" ht="12">
      <c r="B192" s="32"/>
      <c r="C192" s="33" t="s">
        <v>23</v>
      </c>
      <c r="D192" s="34" t="s">
        <v>24</v>
      </c>
      <c r="E192" s="34">
        <v>5.7000000000000002E-2</v>
      </c>
      <c r="F192" s="24">
        <f>E192*F190</f>
        <v>0.59279999999999999</v>
      </c>
      <c r="G192" s="106"/>
      <c r="H192" s="24"/>
      <c r="I192" s="106"/>
      <c r="J192" s="24"/>
      <c r="K192" s="106"/>
      <c r="L192" s="24">
        <f>K192*F192</f>
        <v>0</v>
      </c>
      <c r="M192" s="107">
        <f t="shared" si="48"/>
        <v>0</v>
      </c>
    </row>
    <row r="193" spans="2:13" s="105" customFormat="1" ht="12">
      <c r="B193" s="32"/>
      <c r="C193" s="33" t="s">
        <v>51</v>
      </c>
      <c r="D193" s="34"/>
      <c r="E193" s="34"/>
      <c r="F193" s="24"/>
      <c r="G193" s="106"/>
      <c r="H193" s="24"/>
      <c r="I193" s="106"/>
      <c r="J193" s="24"/>
      <c r="K193" s="106"/>
      <c r="L193" s="24"/>
      <c r="M193" s="107">
        <f t="shared" si="48"/>
        <v>0</v>
      </c>
    </row>
    <row r="194" spans="2:13" s="105" customFormat="1" ht="12">
      <c r="B194" s="32"/>
      <c r="C194" s="33" t="s">
        <v>129</v>
      </c>
      <c r="D194" s="34" t="s">
        <v>21</v>
      </c>
      <c r="E194" s="34">
        <v>1.05</v>
      </c>
      <c r="F194" s="24">
        <f>E194*F190</f>
        <v>10.920000000000002</v>
      </c>
      <c r="G194" s="106"/>
      <c r="H194" s="24">
        <f t="shared" ref="H194:H197" si="49">G194*F194</f>
        <v>0</v>
      </c>
      <c r="I194" s="106"/>
      <c r="J194" s="24"/>
      <c r="K194" s="106"/>
      <c r="L194" s="24"/>
      <c r="M194" s="107">
        <f t="shared" si="48"/>
        <v>0</v>
      </c>
    </row>
    <row r="195" spans="2:13" s="105" customFormat="1" ht="12">
      <c r="B195" s="32"/>
      <c r="C195" s="33" t="s">
        <v>130</v>
      </c>
      <c r="D195" s="34" t="s">
        <v>29</v>
      </c>
      <c r="E195" s="34"/>
      <c r="F195" s="24">
        <f>F190/0.5*2*1.03</f>
        <v>42.848000000000006</v>
      </c>
      <c r="G195" s="106"/>
      <c r="H195" s="24">
        <f t="shared" si="49"/>
        <v>0</v>
      </c>
      <c r="I195" s="106"/>
      <c r="J195" s="24"/>
      <c r="K195" s="106"/>
      <c r="L195" s="24"/>
      <c r="M195" s="107">
        <f t="shared" si="48"/>
        <v>0</v>
      </c>
    </row>
    <row r="196" spans="2:13" s="105" customFormat="1" ht="12">
      <c r="B196" s="32"/>
      <c r="C196" s="33" t="s">
        <v>131</v>
      </c>
      <c r="D196" s="34" t="s">
        <v>21</v>
      </c>
      <c r="E196" s="34">
        <v>1.05</v>
      </c>
      <c r="F196" s="24">
        <f>E196*F190</f>
        <v>10.920000000000002</v>
      </c>
      <c r="G196" s="106"/>
      <c r="H196" s="24">
        <f t="shared" si="49"/>
        <v>0</v>
      </c>
      <c r="I196" s="106"/>
      <c r="J196" s="24"/>
      <c r="K196" s="106"/>
      <c r="L196" s="24"/>
      <c r="M196" s="107">
        <f t="shared" si="48"/>
        <v>0</v>
      </c>
    </row>
    <row r="197" spans="2:13" s="105" customFormat="1" ht="12">
      <c r="B197" s="32"/>
      <c r="C197" s="33" t="s">
        <v>132</v>
      </c>
      <c r="D197" s="34" t="s">
        <v>30</v>
      </c>
      <c r="E197" s="34">
        <v>6</v>
      </c>
      <c r="F197" s="24">
        <f>E197*F190</f>
        <v>62.400000000000006</v>
      </c>
      <c r="G197" s="106"/>
      <c r="H197" s="24">
        <f t="shared" si="49"/>
        <v>0</v>
      </c>
      <c r="I197" s="106"/>
      <c r="J197" s="24"/>
      <c r="K197" s="106"/>
      <c r="L197" s="24"/>
      <c r="M197" s="107">
        <f t="shared" si="48"/>
        <v>0</v>
      </c>
    </row>
    <row r="198" spans="2:13" s="105" customFormat="1" ht="12">
      <c r="B198" s="32"/>
      <c r="C198" s="33" t="s">
        <v>75</v>
      </c>
      <c r="D198" s="34" t="s">
        <v>24</v>
      </c>
      <c r="E198" s="34">
        <v>0.124</v>
      </c>
      <c r="F198" s="24">
        <f>E198*F190</f>
        <v>1.2896000000000001</v>
      </c>
      <c r="G198" s="106"/>
      <c r="H198" s="108">
        <f t="shared" ref="H198" si="50">F198*G198</f>
        <v>0</v>
      </c>
      <c r="I198" s="106"/>
      <c r="J198" s="24"/>
      <c r="K198" s="106"/>
      <c r="L198" s="24"/>
      <c r="M198" s="109">
        <f>H198+J198+L198</f>
        <v>0</v>
      </c>
    </row>
    <row r="199" spans="2:13" s="102" customFormat="1" ht="12">
      <c r="B199" s="26">
        <f>B190+1</f>
        <v>23</v>
      </c>
      <c r="C199" s="27" t="s">
        <v>133</v>
      </c>
      <c r="D199" s="28" t="s">
        <v>21</v>
      </c>
      <c r="E199" s="28"/>
      <c r="F199" s="29">
        <f>25</f>
        <v>25</v>
      </c>
      <c r="G199" s="120"/>
      <c r="H199" s="29"/>
      <c r="I199" s="120"/>
      <c r="J199" s="29"/>
      <c r="K199" s="120"/>
      <c r="L199" s="29"/>
      <c r="M199" s="31"/>
    </row>
    <row r="200" spans="2:13" s="102" customFormat="1" ht="12">
      <c r="B200" s="32"/>
      <c r="C200" s="33" t="s">
        <v>22</v>
      </c>
      <c r="D200" s="34" t="s">
        <v>21</v>
      </c>
      <c r="E200" s="34">
        <v>1</v>
      </c>
      <c r="F200" s="24">
        <f>F199*E200</f>
        <v>25</v>
      </c>
      <c r="G200" s="106"/>
      <c r="H200" s="24"/>
      <c r="I200" s="106"/>
      <c r="J200" s="24">
        <f>I200*F200</f>
        <v>0</v>
      </c>
      <c r="K200" s="106"/>
      <c r="L200" s="24"/>
      <c r="M200" s="109">
        <f>L200+J200+H200</f>
        <v>0</v>
      </c>
    </row>
    <row r="201" spans="2:13" s="102" customFormat="1" ht="12">
      <c r="B201" s="32"/>
      <c r="C201" s="33" t="s">
        <v>51</v>
      </c>
      <c r="D201" s="34"/>
      <c r="E201" s="34"/>
      <c r="F201" s="24"/>
      <c r="G201" s="106"/>
      <c r="H201" s="24"/>
      <c r="I201" s="106"/>
      <c r="J201" s="24"/>
      <c r="K201" s="106"/>
      <c r="L201" s="24"/>
      <c r="M201" s="109">
        <f>L201+J201+H201</f>
        <v>0</v>
      </c>
    </row>
    <row r="202" spans="2:13" s="102" customFormat="1" ht="12">
      <c r="B202" s="32"/>
      <c r="C202" s="33" t="s">
        <v>134</v>
      </c>
      <c r="D202" s="34" t="s">
        <v>27</v>
      </c>
      <c r="E202" s="34">
        <f>0.055</f>
        <v>5.5E-2</v>
      </c>
      <c r="F202" s="24">
        <f>E202*F199</f>
        <v>1.375</v>
      </c>
      <c r="G202" s="110"/>
      <c r="H202" s="108">
        <f>G202*F202</f>
        <v>0</v>
      </c>
      <c r="I202" s="110"/>
      <c r="J202" s="24"/>
      <c r="K202" s="110"/>
      <c r="L202" s="24"/>
      <c r="M202" s="109">
        <f>L202+J202+H202</f>
        <v>0</v>
      </c>
    </row>
    <row r="203" spans="2:13" s="102" customFormat="1" ht="24">
      <c r="B203" s="26">
        <f>B199+1</f>
        <v>24</v>
      </c>
      <c r="C203" s="27" t="s">
        <v>135</v>
      </c>
      <c r="D203" s="28" t="s">
        <v>21</v>
      </c>
      <c r="E203" s="28"/>
      <c r="F203" s="29">
        <f>F199</f>
        <v>25</v>
      </c>
      <c r="G203" s="120"/>
      <c r="H203" s="29"/>
      <c r="I203" s="120"/>
      <c r="J203" s="29"/>
      <c r="K203" s="120"/>
      <c r="L203" s="29"/>
      <c r="M203" s="31"/>
    </row>
    <row r="204" spans="2:13" s="102" customFormat="1" ht="12">
      <c r="B204" s="32"/>
      <c r="C204" s="33" t="s">
        <v>22</v>
      </c>
      <c r="D204" s="34" t="s">
        <v>21</v>
      </c>
      <c r="E204" s="34">
        <v>1</v>
      </c>
      <c r="F204" s="24">
        <f>F203*E204</f>
        <v>25</v>
      </c>
      <c r="G204" s="106"/>
      <c r="H204" s="24"/>
      <c r="I204" s="106"/>
      <c r="J204" s="24">
        <f>I204*F204</f>
        <v>0</v>
      </c>
      <c r="K204" s="106"/>
      <c r="L204" s="24"/>
      <c r="M204" s="109">
        <f>L204+J204+H204</f>
        <v>0</v>
      </c>
    </row>
    <row r="205" spans="2:13" s="102" customFormat="1" ht="12">
      <c r="B205" s="32"/>
      <c r="C205" s="33" t="s">
        <v>23</v>
      </c>
      <c r="D205" s="34" t="s">
        <v>24</v>
      </c>
      <c r="E205" s="34">
        <v>1.7000000000000001E-2</v>
      </c>
      <c r="F205" s="24">
        <f>E205*F203</f>
        <v>0.42500000000000004</v>
      </c>
      <c r="G205" s="106"/>
      <c r="H205" s="24"/>
      <c r="I205" s="106"/>
      <c r="J205" s="24"/>
      <c r="K205" s="106"/>
      <c r="L205" s="24">
        <f>K205*F205</f>
        <v>0</v>
      </c>
      <c r="M205" s="109">
        <f>L205+J205+H205</f>
        <v>0</v>
      </c>
    </row>
    <row r="206" spans="2:13" s="102" customFormat="1" ht="12">
      <c r="B206" s="32"/>
      <c r="C206" s="33" t="s">
        <v>51</v>
      </c>
      <c r="D206" s="34"/>
      <c r="E206" s="34"/>
      <c r="F206" s="24"/>
      <c r="G206" s="106"/>
      <c r="H206" s="24"/>
      <c r="I206" s="106"/>
      <c r="J206" s="24"/>
      <c r="K206" s="106"/>
      <c r="L206" s="24"/>
      <c r="M206" s="109">
        <f>L206+J206+H206</f>
        <v>0</v>
      </c>
    </row>
    <row r="207" spans="2:13" s="102" customFormat="1" ht="12">
      <c r="B207" s="32"/>
      <c r="C207" s="33" t="s">
        <v>108</v>
      </c>
      <c r="D207" s="34" t="s">
        <v>27</v>
      </c>
      <c r="E207" s="34">
        <v>0.11</v>
      </c>
      <c r="F207" s="24">
        <f>E207*F203</f>
        <v>2.75</v>
      </c>
      <c r="G207" s="110"/>
      <c r="H207" s="108">
        <f>G207*F207</f>
        <v>0</v>
      </c>
      <c r="I207" s="110"/>
      <c r="J207" s="24"/>
      <c r="K207" s="110"/>
      <c r="L207" s="24"/>
      <c r="M207" s="109">
        <f>L207+J207+H207</f>
        <v>0</v>
      </c>
    </row>
    <row r="208" spans="2:13" s="102" customFormat="1" ht="12">
      <c r="B208" s="32"/>
      <c r="C208" s="33" t="s">
        <v>75</v>
      </c>
      <c r="D208" s="34" t="s">
        <v>24</v>
      </c>
      <c r="E208" s="34">
        <v>0.11</v>
      </c>
      <c r="F208" s="24">
        <f>E208*F203</f>
        <v>2.75</v>
      </c>
      <c r="G208" s="106"/>
      <c r="H208" s="108">
        <f>G208*F208</f>
        <v>0</v>
      </c>
      <c r="I208" s="106"/>
      <c r="J208" s="24"/>
      <c r="K208" s="106"/>
      <c r="L208" s="24"/>
      <c r="M208" s="109">
        <f>L208+J208+H208</f>
        <v>0</v>
      </c>
    </row>
    <row r="209" spans="2:13" s="102" customFormat="1" ht="12">
      <c r="B209" s="26">
        <f>B203+1</f>
        <v>25</v>
      </c>
      <c r="C209" s="27" t="s">
        <v>136</v>
      </c>
      <c r="D209" s="28" t="s">
        <v>21</v>
      </c>
      <c r="E209" s="28"/>
      <c r="F209" s="29">
        <f>F203</f>
        <v>25</v>
      </c>
      <c r="G209" s="120"/>
      <c r="H209" s="29"/>
      <c r="I209" s="120"/>
      <c r="J209" s="29"/>
      <c r="K209" s="120"/>
      <c r="L209" s="29"/>
      <c r="M209" s="31"/>
    </row>
    <row r="210" spans="2:13" s="102" customFormat="1" ht="12">
      <c r="B210" s="32"/>
      <c r="C210" s="33" t="s">
        <v>22</v>
      </c>
      <c r="D210" s="34" t="s">
        <v>21</v>
      </c>
      <c r="E210" s="34">
        <v>1</v>
      </c>
      <c r="F210" s="24">
        <f>F209*E210</f>
        <v>25</v>
      </c>
      <c r="G210" s="106"/>
      <c r="H210" s="24"/>
      <c r="I210" s="106"/>
      <c r="J210" s="24">
        <f>I210*F210</f>
        <v>0</v>
      </c>
      <c r="K210" s="106"/>
      <c r="L210" s="24"/>
      <c r="M210" s="109">
        <f>L210+J210+H210</f>
        <v>0</v>
      </c>
    </row>
    <row r="211" spans="2:13" s="102" customFormat="1" ht="12">
      <c r="B211" s="32"/>
      <c r="C211" s="33" t="s">
        <v>23</v>
      </c>
      <c r="D211" s="34" t="s">
        <v>24</v>
      </c>
      <c r="E211" s="34">
        <v>1.7000000000000001E-2</v>
      </c>
      <c r="F211" s="24">
        <f>E211*F209</f>
        <v>0.42500000000000004</v>
      </c>
      <c r="G211" s="106"/>
      <c r="H211" s="24"/>
      <c r="I211" s="106"/>
      <c r="J211" s="24"/>
      <c r="K211" s="106"/>
      <c r="L211" s="24">
        <f>K211*F211</f>
        <v>0</v>
      </c>
      <c r="M211" s="109">
        <f>L211+J211+H211</f>
        <v>0</v>
      </c>
    </row>
    <row r="212" spans="2:13" s="102" customFormat="1" ht="12">
      <c r="B212" s="32"/>
      <c r="C212" s="33" t="s">
        <v>51</v>
      </c>
      <c r="D212" s="34"/>
      <c r="E212" s="34"/>
      <c r="F212" s="24"/>
      <c r="G212" s="106"/>
      <c r="H212" s="24"/>
      <c r="I212" s="106"/>
      <c r="J212" s="24"/>
      <c r="K212" s="106"/>
      <c r="L212" s="24"/>
      <c r="M212" s="109">
        <f>L212+J212+H212</f>
        <v>0</v>
      </c>
    </row>
    <row r="213" spans="2:13" s="102" customFormat="1" ht="12">
      <c r="B213" s="32"/>
      <c r="C213" s="33" t="s">
        <v>137</v>
      </c>
      <c r="D213" s="34" t="s">
        <v>21</v>
      </c>
      <c r="E213" s="34">
        <v>1.05</v>
      </c>
      <c r="F213" s="24">
        <f>E213*F209</f>
        <v>26.25</v>
      </c>
      <c r="G213" s="110"/>
      <c r="H213" s="108">
        <f>G213*F213</f>
        <v>0</v>
      </c>
      <c r="I213" s="110"/>
      <c r="J213" s="24"/>
      <c r="K213" s="110"/>
      <c r="L213" s="24"/>
      <c r="M213" s="109">
        <f>L213+J213+H213</f>
        <v>0</v>
      </c>
    </row>
    <row r="214" spans="2:13" s="102" customFormat="1" ht="12">
      <c r="B214" s="32"/>
      <c r="C214" s="33" t="s">
        <v>75</v>
      </c>
      <c r="D214" s="34" t="s">
        <v>24</v>
      </c>
      <c r="E214" s="34">
        <v>0.22</v>
      </c>
      <c r="F214" s="24">
        <f>E214*F209</f>
        <v>5.5</v>
      </c>
      <c r="G214" s="106"/>
      <c r="H214" s="108">
        <f>G214*F214</f>
        <v>0</v>
      </c>
      <c r="I214" s="106"/>
      <c r="J214" s="24"/>
      <c r="K214" s="106"/>
      <c r="L214" s="24"/>
      <c r="M214" s="109">
        <f>L214+J214+H214</f>
        <v>0</v>
      </c>
    </row>
    <row r="215" spans="2:13" s="121" customFormat="1" ht="13.5">
      <c r="B215" s="70">
        <f>B209+1</f>
        <v>26</v>
      </c>
      <c r="C215" s="71" t="s">
        <v>138</v>
      </c>
      <c r="D215" s="72" t="s">
        <v>21</v>
      </c>
      <c r="E215" s="72"/>
      <c r="F215" s="62">
        <v>99.5</v>
      </c>
      <c r="G215" s="27"/>
      <c r="H215" s="27"/>
      <c r="I215" s="27"/>
      <c r="J215" s="27"/>
      <c r="K215" s="27"/>
      <c r="L215" s="27"/>
      <c r="M215" s="22"/>
    </row>
    <row r="216" spans="2:13" s="121" customFormat="1" ht="13.5">
      <c r="B216" s="70"/>
      <c r="C216" s="73" t="s">
        <v>22</v>
      </c>
      <c r="D216" s="48" t="s">
        <v>21</v>
      </c>
      <c r="E216" s="67">
        <v>1</v>
      </c>
      <c r="F216" s="67">
        <f>E216*F215</f>
        <v>99.5</v>
      </c>
      <c r="G216" s="24"/>
      <c r="H216" s="24"/>
      <c r="I216" s="24"/>
      <c r="J216" s="25">
        <f>I216*F216</f>
        <v>0</v>
      </c>
      <c r="K216" s="24"/>
      <c r="L216" s="24"/>
      <c r="M216" s="22">
        <f t="shared" ref="M216:M226" si="51">L216+J216+H216</f>
        <v>0</v>
      </c>
    </row>
    <row r="217" spans="2:13" s="121" customFormat="1" ht="13.5">
      <c r="B217" s="70"/>
      <c r="C217" s="73" t="s">
        <v>51</v>
      </c>
      <c r="D217" s="48"/>
      <c r="E217" s="67"/>
      <c r="F217" s="67"/>
      <c r="G217" s="24"/>
      <c r="H217" s="24"/>
      <c r="I217" s="24"/>
      <c r="J217" s="25"/>
      <c r="K217" s="24"/>
      <c r="L217" s="24"/>
      <c r="M217" s="22">
        <f t="shared" si="51"/>
        <v>0</v>
      </c>
    </row>
    <row r="218" spans="2:13" s="121" customFormat="1" ht="13.5">
      <c r="B218" s="70"/>
      <c r="C218" s="73" t="s">
        <v>139</v>
      </c>
      <c r="D218" s="48" t="s">
        <v>21</v>
      </c>
      <c r="E218" s="67">
        <v>1.05</v>
      </c>
      <c r="F218" s="67">
        <f>E218*F215</f>
        <v>104.47500000000001</v>
      </c>
      <c r="G218" s="24"/>
      <c r="H218" s="24">
        <f>G218*F218</f>
        <v>0</v>
      </c>
      <c r="I218" s="24"/>
      <c r="J218" s="25"/>
      <c r="K218" s="24"/>
      <c r="L218" s="24"/>
      <c r="M218" s="22">
        <f t="shared" si="51"/>
        <v>0</v>
      </c>
    </row>
    <row r="219" spans="2:13" s="121" customFormat="1" ht="13.5">
      <c r="B219" s="70"/>
      <c r="C219" s="73" t="s">
        <v>140</v>
      </c>
      <c r="D219" s="48" t="s">
        <v>29</v>
      </c>
      <c r="E219" s="67">
        <v>2.1</v>
      </c>
      <c r="F219" s="67">
        <f>E219*F215</f>
        <v>208.95000000000002</v>
      </c>
      <c r="G219" s="24"/>
      <c r="H219" s="24">
        <f t="shared" ref="H219:H226" si="52">G219*F219</f>
        <v>0</v>
      </c>
      <c r="I219" s="24"/>
      <c r="J219" s="25"/>
      <c r="K219" s="24"/>
      <c r="L219" s="24"/>
      <c r="M219" s="22">
        <f t="shared" si="51"/>
        <v>0</v>
      </c>
    </row>
    <row r="220" spans="2:13" s="121" customFormat="1" ht="13.5">
      <c r="B220" s="70"/>
      <c r="C220" s="73" t="s">
        <v>140</v>
      </c>
      <c r="D220" s="48" t="s">
        <v>29</v>
      </c>
      <c r="E220" s="67">
        <v>1</v>
      </c>
      <c r="F220" s="67">
        <f>E220*F215</f>
        <v>99.5</v>
      </c>
      <c r="G220" s="24"/>
      <c r="H220" s="24">
        <f t="shared" si="52"/>
        <v>0</v>
      </c>
      <c r="I220" s="24"/>
      <c r="J220" s="25"/>
      <c r="K220" s="24"/>
      <c r="L220" s="24"/>
      <c r="M220" s="22">
        <f t="shared" si="51"/>
        <v>0</v>
      </c>
    </row>
    <row r="221" spans="2:13" s="121" customFormat="1" ht="13.5">
      <c r="B221" s="70"/>
      <c r="C221" s="73" t="s">
        <v>141</v>
      </c>
      <c r="D221" s="48" t="s">
        <v>30</v>
      </c>
      <c r="E221" s="67">
        <v>0.4</v>
      </c>
      <c r="F221" s="67">
        <f>E221*F215</f>
        <v>39.800000000000004</v>
      </c>
      <c r="G221" s="24"/>
      <c r="H221" s="24">
        <f t="shared" si="52"/>
        <v>0</v>
      </c>
      <c r="I221" s="24"/>
      <c r="J221" s="25"/>
      <c r="K221" s="24"/>
      <c r="L221" s="24"/>
      <c r="M221" s="22">
        <f t="shared" si="51"/>
        <v>0</v>
      </c>
    </row>
    <row r="222" spans="2:13" s="121" customFormat="1" ht="13.5">
      <c r="B222" s="70"/>
      <c r="C222" s="73" t="s">
        <v>142</v>
      </c>
      <c r="D222" s="48" t="s">
        <v>30</v>
      </c>
      <c r="E222" s="67">
        <v>1.5</v>
      </c>
      <c r="F222" s="67">
        <f>E222*F215</f>
        <v>149.25</v>
      </c>
      <c r="G222" s="24"/>
      <c r="H222" s="24">
        <f t="shared" si="52"/>
        <v>0</v>
      </c>
      <c r="I222" s="24"/>
      <c r="J222" s="25"/>
      <c r="K222" s="24"/>
      <c r="L222" s="24"/>
      <c r="M222" s="22">
        <f t="shared" si="51"/>
        <v>0</v>
      </c>
    </row>
    <row r="223" spans="2:13" s="121" customFormat="1" ht="13.5">
      <c r="B223" s="70"/>
      <c r="C223" s="73" t="s">
        <v>143</v>
      </c>
      <c r="D223" s="48" t="s">
        <v>30</v>
      </c>
      <c r="E223" s="67">
        <v>2.6</v>
      </c>
      <c r="F223" s="67">
        <f>E223*F215</f>
        <v>258.7</v>
      </c>
      <c r="G223" s="24"/>
      <c r="H223" s="24">
        <f t="shared" si="52"/>
        <v>0</v>
      </c>
      <c r="I223" s="24"/>
      <c r="J223" s="25"/>
      <c r="K223" s="24"/>
      <c r="L223" s="24"/>
      <c r="M223" s="22">
        <f t="shared" si="51"/>
        <v>0</v>
      </c>
    </row>
    <row r="224" spans="2:13" s="121" customFormat="1" ht="13.5">
      <c r="B224" s="70"/>
      <c r="C224" s="73" t="s">
        <v>144</v>
      </c>
      <c r="D224" s="48" t="s">
        <v>30</v>
      </c>
      <c r="E224" s="67">
        <v>17</v>
      </c>
      <c r="F224" s="67">
        <f>E224*F215</f>
        <v>1691.5</v>
      </c>
      <c r="G224" s="24"/>
      <c r="H224" s="24">
        <f t="shared" si="52"/>
        <v>0</v>
      </c>
      <c r="I224" s="24"/>
      <c r="J224" s="25"/>
      <c r="K224" s="24"/>
      <c r="L224" s="24"/>
      <c r="M224" s="22">
        <f t="shared" si="51"/>
        <v>0</v>
      </c>
    </row>
    <row r="225" spans="2:13" s="121" customFormat="1" ht="13.5">
      <c r="B225" s="70"/>
      <c r="C225" s="73" t="s">
        <v>145</v>
      </c>
      <c r="D225" s="48" t="s">
        <v>30</v>
      </c>
      <c r="E225" s="67">
        <v>2</v>
      </c>
      <c r="F225" s="67">
        <f>E225*F215</f>
        <v>199</v>
      </c>
      <c r="G225" s="24"/>
      <c r="H225" s="24">
        <f t="shared" si="52"/>
        <v>0</v>
      </c>
      <c r="I225" s="24"/>
      <c r="J225" s="25"/>
      <c r="K225" s="24"/>
      <c r="L225" s="24"/>
      <c r="M225" s="22">
        <f t="shared" si="51"/>
        <v>0</v>
      </c>
    </row>
    <row r="226" spans="2:13" s="121" customFormat="1" ht="13.5">
      <c r="B226" s="70"/>
      <c r="C226" s="73" t="s">
        <v>146</v>
      </c>
      <c r="D226" s="48" t="s">
        <v>30</v>
      </c>
      <c r="E226" s="67">
        <v>1.5</v>
      </c>
      <c r="F226" s="67">
        <f>E226*F215</f>
        <v>149.25</v>
      </c>
      <c r="G226" s="24"/>
      <c r="H226" s="24">
        <f t="shared" si="52"/>
        <v>0</v>
      </c>
      <c r="I226" s="24"/>
      <c r="J226" s="25"/>
      <c r="K226" s="24"/>
      <c r="L226" s="24"/>
      <c r="M226" s="22">
        <f t="shared" si="51"/>
        <v>0</v>
      </c>
    </row>
    <row r="227" spans="2:13" s="122" customFormat="1" ht="27.95" customHeight="1">
      <c r="B227" s="70">
        <f>B215+1</f>
        <v>27</v>
      </c>
      <c r="C227" s="27" t="s">
        <v>147</v>
      </c>
      <c r="D227" s="72" t="s">
        <v>21</v>
      </c>
      <c r="E227" s="72"/>
      <c r="F227" s="62">
        <f>F215-25.5</f>
        <v>74</v>
      </c>
      <c r="G227" s="27"/>
      <c r="H227" s="27"/>
      <c r="I227" s="27"/>
      <c r="J227" s="27"/>
      <c r="K227" s="27"/>
      <c r="L227" s="27"/>
      <c r="M227" s="22"/>
    </row>
    <row r="228" spans="2:13" s="121" customFormat="1" ht="13.5">
      <c r="B228" s="70"/>
      <c r="C228" s="73" t="s">
        <v>148</v>
      </c>
      <c r="D228" s="48" t="s">
        <v>21</v>
      </c>
      <c r="E228" s="67">
        <v>1</v>
      </c>
      <c r="F228" s="67">
        <f>F227</f>
        <v>74</v>
      </c>
      <c r="G228" s="24"/>
      <c r="H228" s="24"/>
      <c r="I228" s="24"/>
      <c r="J228" s="25">
        <f>I228*F228</f>
        <v>0</v>
      </c>
      <c r="K228" s="24"/>
      <c r="L228" s="24"/>
      <c r="M228" s="22">
        <f t="shared" ref="M228:M233" si="53">L228+J228+H228</f>
        <v>0</v>
      </c>
    </row>
    <row r="229" spans="2:13" s="121" customFormat="1" ht="13.5">
      <c r="B229" s="70"/>
      <c r="C229" s="73" t="s">
        <v>23</v>
      </c>
      <c r="D229" s="48" t="s">
        <v>24</v>
      </c>
      <c r="E229" s="67">
        <v>0.17</v>
      </c>
      <c r="F229" s="67">
        <f>E229*F227</f>
        <v>12.58</v>
      </c>
      <c r="G229" s="24"/>
      <c r="H229" s="24"/>
      <c r="I229" s="24"/>
      <c r="J229" s="25"/>
      <c r="K229" s="24"/>
      <c r="L229" s="24">
        <f>K229*F229</f>
        <v>0</v>
      </c>
      <c r="M229" s="22">
        <f t="shared" si="53"/>
        <v>0</v>
      </c>
    </row>
    <row r="230" spans="2:13" s="121" customFormat="1" ht="13.5">
      <c r="B230" s="70"/>
      <c r="C230" s="73" t="s">
        <v>51</v>
      </c>
      <c r="D230" s="48"/>
      <c r="E230" s="67"/>
      <c r="F230" s="67"/>
      <c r="G230" s="24"/>
      <c r="H230" s="24"/>
      <c r="I230" s="24"/>
      <c r="J230" s="25"/>
      <c r="K230" s="24"/>
      <c r="L230" s="24"/>
      <c r="M230" s="22">
        <f t="shared" si="53"/>
        <v>0</v>
      </c>
    </row>
    <row r="231" spans="2:13" s="121" customFormat="1" ht="13.5">
      <c r="B231" s="70"/>
      <c r="C231" s="73" t="s">
        <v>149</v>
      </c>
      <c r="D231" s="48" t="s">
        <v>55</v>
      </c>
      <c r="E231" s="67">
        <f>0.55</f>
        <v>0.55000000000000004</v>
      </c>
      <c r="F231" s="67">
        <f>E231*F227</f>
        <v>40.700000000000003</v>
      </c>
      <c r="G231" s="24"/>
      <c r="H231" s="24">
        <f t="shared" ref="H231" si="54">G231*F231</f>
        <v>0</v>
      </c>
      <c r="I231" s="24"/>
      <c r="J231" s="25"/>
      <c r="K231" s="24"/>
      <c r="L231" s="24"/>
      <c r="M231" s="22">
        <f t="shared" si="53"/>
        <v>0</v>
      </c>
    </row>
    <row r="232" spans="2:13" s="121" customFormat="1" ht="13.5">
      <c r="B232" s="70"/>
      <c r="C232" s="73" t="s">
        <v>150</v>
      </c>
      <c r="D232" s="48" t="s">
        <v>55</v>
      </c>
      <c r="E232" s="67">
        <f>0.65</f>
        <v>0.65</v>
      </c>
      <c r="F232" s="67">
        <f>E232*F227</f>
        <v>48.1</v>
      </c>
      <c r="G232" s="24"/>
      <c r="H232" s="24">
        <f>G232*F232</f>
        <v>0</v>
      </c>
      <c r="I232" s="24"/>
      <c r="J232" s="25"/>
      <c r="K232" s="24"/>
      <c r="L232" s="24"/>
      <c r="M232" s="22">
        <f t="shared" si="53"/>
        <v>0</v>
      </c>
    </row>
    <row r="233" spans="2:13" s="102" customFormat="1" ht="12">
      <c r="B233" s="70"/>
      <c r="C233" s="73" t="s">
        <v>75</v>
      </c>
      <c r="D233" s="48" t="s">
        <v>24</v>
      </c>
      <c r="E233" s="67">
        <v>0.22</v>
      </c>
      <c r="F233" s="67">
        <f>E233*F227</f>
        <v>16.28</v>
      </c>
      <c r="G233" s="24"/>
      <c r="H233" s="24">
        <f>G233*F233</f>
        <v>0</v>
      </c>
      <c r="I233" s="24"/>
      <c r="J233" s="25"/>
      <c r="K233" s="24"/>
      <c r="L233" s="24"/>
      <c r="M233" s="22">
        <f t="shared" si="53"/>
        <v>0</v>
      </c>
    </row>
    <row r="234" spans="2:13" s="122" customFormat="1" ht="27.95" customHeight="1">
      <c r="B234" s="70">
        <f>B227+1</f>
        <v>28</v>
      </c>
      <c r="C234" s="27" t="s">
        <v>151</v>
      </c>
      <c r="D234" s="72" t="s">
        <v>21</v>
      </c>
      <c r="E234" s="72"/>
      <c r="F234" s="62">
        <v>24</v>
      </c>
      <c r="G234" s="27"/>
      <c r="H234" s="27"/>
      <c r="I234" s="27"/>
      <c r="J234" s="27"/>
      <c r="K234" s="27"/>
      <c r="L234" s="27"/>
      <c r="M234" s="22"/>
    </row>
    <row r="235" spans="2:13" s="121" customFormat="1" ht="13.5">
      <c r="B235" s="70"/>
      <c r="C235" s="73" t="s">
        <v>22</v>
      </c>
      <c r="D235" s="48" t="s">
        <v>21</v>
      </c>
      <c r="E235" s="67">
        <v>1</v>
      </c>
      <c r="F235" s="67">
        <f>F234</f>
        <v>24</v>
      </c>
      <c r="G235" s="24"/>
      <c r="H235" s="24"/>
      <c r="I235" s="24"/>
      <c r="J235" s="25">
        <f>I235*F235</f>
        <v>0</v>
      </c>
      <c r="K235" s="24"/>
      <c r="L235" s="24"/>
      <c r="M235" s="22">
        <f t="shared" ref="M235:M241" si="55">L235+J235+H235</f>
        <v>0</v>
      </c>
    </row>
    <row r="236" spans="2:13" s="121" customFormat="1" ht="13.5">
      <c r="B236" s="70"/>
      <c r="C236" s="73" t="s">
        <v>23</v>
      </c>
      <c r="D236" s="48" t="s">
        <v>24</v>
      </c>
      <c r="E236" s="67">
        <v>0.22</v>
      </c>
      <c r="F236" s="67">
        <f>E236*F234</f>
        <v>5.28</v>
      </c>
      <c r="G236" s="24"/>
      <c r="H236" s="24"/>
      <c r="I236" s="24"/>
      <c r="J236" s="25"/>
      <c r="K236" s="24"/>
      <c r="L236" s="24">
        <f>K236*F236</f>
        <v>0</v>
      </c>
      <c r="M236" s="22">
        <f t="shared" si="55"/>
        <v>0</v>
      </c>
    </row>
    <row r="237" spans="2:13" s="121" customFormat="1" ht="13.5">
      <c r="B237" s="70"/>
      <c r="C237" s="73" t="s">
        <v>51</v>
      </c>
      <c r="D237" s="48"/>
      <c r="E237" s="67"/>
      <c r="F237" s="67"/>
      <c r="G237" s="24"/>
      <c r="H237" s="24"/>
      <c r="I237" s="24"/>
      <c r="J237" s="25"/>
      <c r="K237" s="24"/>
      <c r="L237" s="24"/>
      <c r="M237" s="22">
        <f t="shared" si="55"/>
        <v>0</v>
      </c>
    </row>
    <row r="238" spans="2:13" s="121" customFormat="1" ht="13.5">
      <c r="B238" s="70"/>
      <c r="C238" s="73" t="s">
        <v>152</v>
      </c>
      <c r="D238" s="48" t="str">
        <f>D235</f>
        <v>მ²</v>
      </c>
      <c r="E238" s="67">
        <f>1.05</f>
        <v>1.05</v>
      </c>
      <c r="F238" s="67">
        <f>E238*F234</f>
        <v>25.200000000000003</v>
      </c>
      <c r="G238" s="24"/>
      <c r="H238" s="24">
        <f t="shared" ref="H238:H241" si="56">G238*F238</f>
        <v>0</v>
      </c>
      <c r="I238" s="24"/>
      <c r="J238" s="25"/>
      <c r="K238" s="24"/>
      <c r="L238" s="24"/>
      <c r="M238" s="22">
        <f t="shared" si="55"/>
        <v>0</v>
      </c>
    </row>
    <row r="239" spans="2:13" s="121" customFormat="1" ht="13.5">
      <c r="B239" s="70"/>
      <c r="C239" s="73" t="s">
        <v>106</v>
      </c>
      <c r="D239" s="48" t="s">
        <v>55</v>
      </c>
      <c r="E239" s="67">
        <v>8</v>
      </c>
      <c r="F239" s="67">
        <f>E239*F234</f>
        <v>192</v>
      </c>
      <c r="G239" s="24"/>
      <c r="H239" s="24">
        <f>G239*F239</f>
        <v>0</v>
      </c>
      <c r="I239" s="24"/>
      <c r="J239" s="25"/>
      <c r="K239" s="24"/>
      <c r="L239" s="24"/>
      <c r="M239" s="22">
        <f t="shared" si="55"/>
        <v>0</v>
      </c>
    </row>
    <row r="240" spans="2:13" s="121" customFormat="1" ht="13.5">
      <c r="B240" s="70"/>
      <c r="C240" s="73" t="s">
        <v>153</v>
      </c>
      <c r="D240" s="48" t="s">
        <v>55</v>
      </c>
      <c r="E240" s="67">
        <v>0.25</v>
      </c>
      <c r="F240" s="67">
        <f>E240*F234</f>
        <v>6</v>
      </c>
      <c r="G240" s="24"/>
      <c r="H240" s="24">
        <f>G240*F240</f>
        <v>0</v>
      </c>
      <c r="I240" s="24"/>
      <c r="J240" s="25"/>
      <c r="K240" s="24"/>
      <c r="L240" s="24"/>
      <c r="M240" s="22">
        <f t="shared" si="55"/>
        <v>0</v>
      </c>
    </row>
    <row r="241" spans="1:13" s="121" customFormat="1" ht="13.5">
      <c r="B241" s="70"/>
      <c r="C241" s="73" t="s">
        <v>75</v>
      </c>
      <c r="D241" s="48" t="s">
        <v>24</v>
      </c>
      <c r="E241" s="67">
        <v>0.25</v>
      </c>
      <c r="F241" s="67">
        <f>E241*F234</f>
        <v>6</v>
      </c>
      <c r="G241" s="24"/>
      <c r="H241" s="24">
        <f t="shared" si="56"/>
        <v>0</v>
      </c>
      <c r="I241" s="24"/>
      <c r="J241" s="25"/>
      <c r="K241" s="24"/>
      <c r="L241" s="24"/>
      <c r="M241" s="22">
        <f t="shared" si="55"/>
        <v>0</v>
      </c>
    </row>
    <row r="242" spans="1:13" s="122" customFormat="1" ht="27.95" customHeight="1">
      <c r="B242" s="70">
        <f>B234+1</f>
        <v>29</v>
      </c>
      <c r="C242" s="27" t="s">
        <v>154</v>
      </c>
      <c r="D242" s="72" t="s">
        <v>21</v>
      </c>
      <c r="E242" s="72"/>
      <c r="F242" s="62">
        <v>4.53</v>
      </c>
      <c r="G242" s="27"/>
      <c r="H242" s="27"/>
      <c r="I242" s="27"/>
      <c r="J242" s="27"/>
      <c r="K242" s="27"/>
      <c r="L242" s="27"/>
      <c r="M242" s="22"/>
    </row>
    <row r="243" spans="1:13" s="121" customFormat="1" ht="13.5">
      <c r="B243" s="70"/>
      <c r="C243" s="73" t="s">
        <v>148</v>
      </c>
      <c r="D243" s="48" t="s">
        <v>21</v>
      </c>
      <c r="E243" s="67">
        <v>1</v>
      </c>
      <c r="F243" s="67">
        <f>F242</f>
        <v>4.53</v>
      </c>
      <c r="G243" s="24"/>
      <c r="H243" s="24"/>
      <c r="I243" s="24"/>
      <c r="J243" s="25">
        <f>I243*F243</f>
        <v>0</v>
      </c>
      <c r="K243" s="24"/>
      <c r="L243" s="24"/>
      <c r="M243" s="22">
        <f t="shared" ref="M243:M266" si="57">L243+J243+H243</f>
        <v>0</v>
      </c>
    </row>
    <row r="244" spans="1:13" s="121" customFormat="1" ht="13.5">
      <c r="B244" s="70"/>
      <c r="C244" s="73" t="s">
        <v>23</v>
      </c>
      <c r="D244" s="48" t="s">
        <v>24</v>
      </c>
      <c r="E244" s="67">
        <v>0.22</v>
      </c>
      <c r="F244" s="67">
        <f>E244*F242</f>
        <v>0.99660000000000004</v>
      </c>
      <c r="G244" s="24"/>
      <c r="H244" s="24"/>
      <c r="I244" s="24"/>
      <c r="J244" s="25"/>
      <c r="K244" s="24"/>
      <c r="L244" s="24">
        <f>K244*F244</f>
        <v>0</v>
      </c>
      <c r="M244" s="22">
        <f t="shared" si="57"/>
        <v>0</v>
      </c>
    </row>
    <row r="245" spans="1:13" s="121" customFormat="1" ht="13.5">
      <c r="B245" s="70"/>
      <c r="C245" s="73" t="s">
        <v>51</v>
      </c>
      <c r="D245" s="48"/>
      <c r="E245" s="67"/>
      <c r="F245" s="67"/>
      <c r="G245" s="24"/>
      <c r="H245" s="24"/>
      <c r="I245" s="24"/>
      <c r="J245" s="25"/>
      <c r="K245" s="24"/>
      <c r="L245" s="24"/>
      <c r="M245" s="22">
        <f t="shared" si="57"/>
        <v>0</v>
      </c>
    </row>
    <row r="246" spans="1:13" s="121" customFormat="1" ht="13.5">
      <c r="B246" s="70"/>
      <c r="C246" s="73" t="s">
        <v>155</v>
      </c>
      <c r="D246" s="48" t="str">
        <f>D243</f>
        <v>მ²</v>
      </c>
      <c r="E246" s="67">
        <f>1.05</f>
        <v>1.05</v>
      </c>
      <c r="F246" s="67">
        <f>E246*F242</f>
        <v>4.7565000000000008</v>
      </c>
      <c r="G246" s="24"/>
      <c r="H246" s="24">
        <f t="shared" ref="H246" si="58">G246*F246</f>
        <v>0</v>
      </c>
      <c r="I246" s="24"/>
      <c r="J246" s="25"/>
      <c r="K246" s="24"/>
      <c r="L246" s="24"/>
      <c r="M246" s="22">
        <f t="shared" si="57"/>
        <v>0</v>
      </c>
    </row>
    <row r="247" spans="1:13" s="121" customFormat="1" ht="13.5">
      <c r="B247" s="70"/>
      <c r="C247" s="73" t="s">
        <v>106</v>
      </c>
      <c r="D247" s="48" t="s">
        <v>55</v>
      </c>
      <c r="E247" s="67">
        <v>8</v>
      </c>
      <c r="F247" s="67">
        <f>E247*F242</f>
        <v>36.24</v>
      </c>
      <c r="G247" s="24"/>
      <c r="H247" s="24">
        <f>G247*F247</f>
        <v>0</v>
      </c>
      <c r="I247" s="24"/>
      <c r="J247" s="25"/>
      <c r="K247" s="24"/>
      <c r="L247" s="24"/>
      <c r="M247" s="22">
        <f t="shared" si="57"/>
        <v>0</v>
      </c>
    </row>
    <row r="248" spans="1:13" s="121" customFormat="1" ht="13.5">
      <c r="B248" s="70"/>
      <c r="C248" s="73" t="s">
        <v>153</v>
      </c>
      <c r="D248" s="48" t="s">
        <v>55</v>
      </c>
      <c r="E248" s="67">
        <v>0.25</v>
      </c>
      <c r="F248" s="67">
        <f>E248*F242</f>
        <v>1.1325000000000001</v>
      </c>
      <c r="G248" s="24"/>
      <c r="H248" s="24">
        <f>G248*F248</f>
        <v>0</v>
      </c>
      <c r="I248" s="24"/>
      <c r="J248" s="25"/>
      <c r="K248" s="24"/>
      <c r="L248" s="24"/>
      <c r="M248" s="22">
        <f t="shared" si="57"/>
        <v>0</v>
      </c>
    </row>
    <row r="249" spans="1:13" s="121" customFormat="1" ht="13.5">
      <c r="B249" s="70"/>
      <c r="C249" s="73" t="s">
        <v>75</v>
      </c>
      <c r="D249" s="48" t="s">
        <v>24</v>
      </c>
      <c r="E249" s="67">
        <v>0.25</v>
      </c>
      <c r="F249" s="67">
        <f>E249*F242</f>
        <v>1.1325000000000001</v>
      </c>
      <c r="G249" s="24"/>
      <c r="H249" s="24">
        <f t="shared" ref="H249" si="59">G249*F249</f>
        <v>0</v>
      </c>
      <c r="I249" s="24"/>
      <c r="J249" s="25"/>
      <c r="K249" s="24"/>
      <c r="L249" s="24"/>
      <c r="M249" s="22">
        <f t="shared" si="57"/>
        <v>0</v>
      </c>
    </row>
    <row r="250" spans="1:13" s="13" customFormat="1" ht="12.95">
      <c r="A250" s="9"/>
      <c r="B250" s="26">
        <f>B242+1</f>
        <v>30</v>
      </c>
      <c r="C250" s="27" t="s">
        <v>156</v>
      </c>
      <c r="D250" s="28" t="s">
        <v>157</v>
      </c>
      <c r="E250" s="28"/>
      <c r="F250" s="29">
        <v>1</v>
      </c>
      <c r="G250" s="30"/>
      <c r="H250" s="29"/>
      <c r="I250" s="30"/>
      <c r="J250" s="29"/>
      <c r="K250" s="30"/>
      <c r="L250" s="29"/>
      <c r="M250" s="22">
        <f t="shared" si="57"/>
        <v>0</v>
      </c>
    </row>
    <row r="251" spans="1:13" s="13" customFormat="1" ht="12.95">
      <c r="A251" s="9"/>
      <c r="B251" s="32"/>
      <c r="C251" s="33" t="s">
        <v>22</v>
      </c>
      <c r="D251" s="34" t="s">
        <v>157</v>
      </c>
      <c r="E251" s="34">
        <v>1</v>
      </c>
      <c r="F251" s="24">
        <f>F250*E251</f>
        <v>1</v>
      </c>
      <c r="G251" s="35"/>
      <c r="H251" s="24"/>
      <c r="I251" s="35"/>
      <c r="J251" s="25">
        <f t="shared" ref="J251" si="60">I251*F251</f>
        <v>0</v>
      </c>
      <c r="K251" s="35"/>
      <c r="L251" s="24"/>
      <c r="M251" s="22">
        <f t="shared" si="57"/>
        <v>0</v>
      </c>
    </row>
    <row r="252" spans="1:13" customFormat="1">
      <c r="A252" s="69"/>
      <c r="B252" s="70"/>
      <c r="C252" s="73" t="s">
        <v>51</v>
      </c>
      <c r="D252" s="48"/>
      <c r="E252" s="67"/>
      <c r="F252" s="67"/>
      <c r="G252" s="24"/>
      <c r="H252" s="24"/>
      <c r="I252" s="24"/>
      <c r="J252" s="24"/>
      <c r="K252" s="24"/>
      <c r="L252" s="24"/>
      <c r="M252" s="22">
        <f t="shared" si="57"/>
        <v>0</v>
      </c>
    </row>
    <row r="253" spans="1:13" customFormat="1">
      <c r="A253" s="69"/>
      <c r="B253" s="70"/>
      <c r="C253" s="73" t="s">
        <v>158</v>
      </c>
      <c r="D253" s="48" t="s">
        <v>157</v>
      </c>
      <c r="E253" s="67">
        <v>1</v>
      </c>
      <c r="F253" s="67">
        <f>E253*F250</f>
        <v>1</v>
      </c>
      <c r="G253" s="24"/>
      <c r="H253" s="24">
        <f t="shared" ref="H253" si="61">G253*F253</f>
        <v>0</v>
      </c>
      <c r="I253" s="24"/>
      <c r="J253" s="24"/>
      <c r="K253" s="24"/>
      <c r="L253" s="24"/>
      <c r="M253" s="22">
        <f t="shared" si="57"/>
        <v>0</v>
      </c>
    </row>
    <row r="254" spans="1:13" s="13" customFormat="1" ht="12.95">
      <c r="A254" s="9"/>
      <c r="B254" s="26">
        <f>B250+1</f>
        <v>31</v>
      </c>
      <c r="C254" s="27" t="s">
        <v>159</v>
      </c>
      <c r="D254" s="28" t="s">
        <v>157</v>
      </c>
      <c r="E254" s="28"/>
      <c r="F254" s="29">
        <v>1</v>
      </c>
      <c r="G254" s="30"/>
      <c r="H254" s="29"/>
      <c r="I254" s="30"/>
      <c r="J254" s="29"/>
      <c r="K254" s="30"/>
      <c r="L254" s="29"/>
      <c r="M254" s="22">
        <f t="shared" si="57"/>
        <v>0</v>
      </c>
    </row>
    <row r="255" spans="1:13" s="13" customFormat="1" ht="12.95">
      <c r="A255" s="9"/>
      <c r="B255" s="32"/>
      <c r="C255" s="33" t="s">
        <v>22</v>
      </c>
      <c r="D255" s="34" t="s">
        <v>157</v>
      </c>
      <c r="E255" s="34">
        <v>1</v>
      </c>
      <c r="F255" s="24">
        <f>F254*E255</f>
        <v>1</v>
      </c>
      <c r="G255" s="35"/>
      <c r="H255" s="24"/>
      <c r="I255" s="35"/>
      <c r="J255" s="25">
        <f t="shared" ref="J255" si="62">I255*F255</f>
        <v>0</v>
      </c>
      <c r="K255" s="35"/>
      <c r="L255" s="24"/>
      <c r="M255" s="22">
        <f t="shared" si="57"/>
        <v>0</v>
      </c>
    </row>
    <row r="256" spans="1:13" customFormat="1">
      <c r="A256" s="69"/>
      <c r="B256" s="70"/>
      <c r="C256" s="73" t="s">
        <v>51</v>
      </c>
      <c r="D256" s="48"/>
      <c r="E256" s="67"/>
      <c r="F256" s="67"/>
      <c r="G256" s="24"/>
      <c r="H256" s="24"/>
      <c r="I256" s="24"/>
      <c r="J256" s="24"/>
      <c r="K256" s="24"/>
      <c r="L256" s="24"/>
      <c r="M256" s="22">
        <f t="shared" si="57"/>
        <v>0</v>
      </c>
    </row>
    <row r="257" spans="1:13" customFormat="1">
      <c r="A257" s="69"/>
      <c r="B257" s="70"/>
      <c r="C257" s="73" t="s">
        <v>160</v>
      </c>
      <c r="D257" s="48" t="s">
        <v>157</v>
      </c>
      <c r="E257" s="67">
        <v>1</v>
      </c>
      <c r="F257" s="67">
        <f>E257*F254</f>
        <v>1</v>
      </c>
      <c r="G257" s="24"/>
      <c r="H257" s="24">
        <f t="shared" ref="H257" si="63">G257*F257</f>
        <v>0</v>
      </c>
      <c r="I257" s="24"/>
      <c r="J257" s="24"/>
      <c r="K257" s="24"/>
      <c r="L257" s="24"/>
      <c r="M257" s="22">
        <f t="shared" si="57"/>
        <v>0</v>
      </c>
    </row>
    <row r="258" spans="1:13" s="13" customFormat="1" ht="12.95">
      <c r="A258" s="9"/>
      <c r="B258" s="26">
        <f>B254+1</f>
        <v>32</v>
      </c>
      <c r="C258" s="27" t="s">
        <v>161</v>
      </c>
      <c r="D258" s="28" t="s">
        <v>157</v>
      </c>
      <c r="E258" s="28"/>
      <c r="F258" s="29">
        <v>1</v>
      </c>
      <c r="G258" s="30"/>
      <c r="H258" s="29"/>
      <c r="I258" s="30"/>
      <c r="J258" s="29"/>
      <c r="K258" s="30"/>
      <c r="L258" s="29"/>
      <c r="M258" s="22">
        <f t="shared" si="57"/>
        <v>0</v>
      </c>
    </row>
    <row r="259" spans="1:13" s="13" customFormat="1" ht="12.95">
      <c r="A259" s="9"/>
      <c r="B259" s="32"/>
      <c r="C259" s="33" t="s">
        <v>22</v>
      </c>
      <c r="D259" s="34" t="s">
        <v>157</v>
      </c>
      <c r="E259" s="34">
        <v>1</v>
      </c>
      <c r="F259" s="24">
        <f>F258*E259</f>
        <v>1</v>
      </c>
      <c r="G259" s="35"/>
      <c r="H259" s="24"/>
      <c r="I259" s="35"/>
      <c r="J259" s="25">
        <f t="shared" ref="J259" si="64">I259*F259</f>
        <v>0</v>
      </c>
      <c r="K259" s="35"/>
      <c r="L259" s="24"/>
      <c r="M259" s="22">
        <f t="shared" si="57"/>
        <v>0</v>
      </c>
    </row>
    <row r="260" spans="1:13" customFormat="1">
      <c r="A260" s="69"/>
      <c r="B260" s="70"/>
      <c r="C260" s="73" t="s">
        <v>51</v>
      </c>
      <c r="D260" s="48"/>
      <c r="E260" s="67"/>
      <c r="F260" s="67"/>
      <c r="G260" s="24"/>
      <c r="H260" s="24"/>
      <c r="I260" s="24"/>
      <c r="J260" s="24"/>
      <c r="K260" s="24"/>
      <c r="L260" s="24"/>
      <c r="M260" s="22">
        <f t="shared" si="57"/>
        <v>0</v>
      </c>
    </row>
    <row r="261" spans="1:13" customFormat="1">
      <c r="A261" s="69"/>
      <c r="B261" s="70"/>
      <c r="C261" s="73" t="s">
        <v>162</v>
      </c>
      <c r="D261" s="48" t="s">
        <v>157</v>
      </c>
      <c r="E261" s="67">
        <v>1</v>
      </c>
      <c r="F261" s="67">
        <f>E261*F258</f>
        <v>1</v>
      </c>
      <c r="G261" s="24"/>
      <c r="H261" s="24">
        <f t="shared" ref="H261" si="65">G261*F261</f>
        <v>0</v>
      </c>
      <c r="I261" s="24"/>
      <c r="J261" s="24"/>
      <c r="K261" s="24"/>
      <c r="L261" s="24"/>
      <c r="M261" s="22">
        <f t="shared" si="57"/>
        <v>0</v>
      </c>
    </row>
    <row r="262" spans="1:13" s="13" customFormat="1" ht="12.95">
      <c r="A262" s="9"/>
      <c r="B262" s="26">
        <f>B258+1</f>
        <v>33</v>
      </c>
      <c r="C262" s="27" t="s">
        <v>163</v>
      </c>
      <c r="D262" s="28" t="s">
        <v>30</v>
      </c>
      <c r="E262" s="28"/>
      <c r="F262" s="29">
        <v>2</v>
      </c>
      <c r="G262" s="30"/>
      <c r="H262" s="29"/>
      <c r="I262" s="30"/>
      <c r="J262" s="29"/>
      <c r="K262" s="30"/>
      <c r="L262" s="29"/>
      <c r="M262" s="22">
        <f t="shared" si="57"/>
        <v>0</v>
      </c>
    </row>
    <row r="263" spans="1:13" s="13" customFormat="1" ht="12.95">
      <c r="A263" s="9"/>
      <c r="B263" s="32"/>
      <c r="C263" s="33" t="s">
        <v>22</v>
      </c>
      <c r="D263" s="34" t="s">
        <v>30</v>
      </c>
      <c r="E263" s="34">
        <v>1</v>
      </c>
      <c r="F263" s="24">
        <f>F262*E263</f>
        <v>2</v>
      </c>
      <c r="G263" s="35"/>
      <c r="H263" s="24"/>
      <c r="I263" s="35"/>
      <c r="J263" s="25">
        <f t="shared" ref="J263" si="66">I263*F263</f>
        <v>0</v>
      </c>
      <c r="K263" s="35"/>
      <c r="L263" s="24"/>
      <c r="M263" s="22">
        <f t="shared" si="57"/>
        <v>0</v>
      </c>
    </row>
    <row r="264" spans="1:13" customFormat="1">
      <c r="A264" s="69"/>
      <c r="B264" s="70"/>
      <c r="C264" s="73" t="s">
        <v>51</v>
      </c>
      <c r="D264" s="48"/>
      <c r="E264" s="67"/>
      <c r="F264" s="67"/>
      <c r="G264" s="24"/>
      <c r="H264" s="24"/>
      <c r="I264" s="24"/>
      <c r="J264" s="24"/>
      <c r="K264" s="24"/>
      <c r="L264" s="24"/>
      <c r="M264" s="22">
        <f t="shared" si="57"/>
        <v>0</v>
      </c>
    </row>
    <row r="265" spans="1:13" customFormat="1">
      <c r="A265" s="69"/>
      <c r="B265" s="70"/>
      <c r="C265" s="73" t="s">
        <v>164</v>
      </c>
      <c r="D265" s="48" t="s">
        <v>30</v>
      </c>
      <c r="E265" s="67">
        <v>1</v>
      </c>
      <c r="F265" s="67">
        <v>1</v>
      </c>
      <c r="G265" s="24"/>
      <c r="H265" s="24">
        <f t="shared" ref="H265:H266" si="67">G265*F265</f>
        <v>0</v>
      </c>
      <c r="I265" s="24"/>
      <c r="J265" s="24"/>
      <c r="K265" s="24"/>
      <c r="L265" s="24"/>
      <c r="M265" s="22">
        <f t="shared" si="57"/>
        <v>0</v>
      </c>
    </row>
    <row r="266" spans="1:13" customFormat="1">
      <c r="A266" s="69"/>
      <c r="B266" s="70"/>
      <c r="C266" s="73" t="s">
        <v>165</v>
      </c>
      <c r="D266" s="48" t="s">
        <v>30</v>
      </c>
      <c r="E266" s="67">
        <v>1</v>
      </c>
      <c r="F266" s="67">
        <v>1</v>
      </c>
      <c r="G266" s="24"/>
      <c r="H266" s="24">
        <f t="shared" si="67"/>
        <v>0</v>
      </c>
      <c r="I266" s="24"/>
      <c r="J266" s="24"/>
      <c r="K266" s="24"/>
      <c r="L266" s="24"/>
      <c r="M266" s="22">
        <f t="shared" si="57"/>
        <v>0</v>
      </c>
    </row>
    <row r="267" spans="1:13" s="13" customFormat="1" ht="24">
      <c r="A267" s="9"/>
      <c r="B267" s="26">
        <f>B144+1</f>
        <v>18</v>
      </c>
      <c r="C267" s="27" t="s">
        <v>166</v>
      </c>
      <c r="D267" s="28" t="s">
        <v>21</v>
      </c>
      <c r="E267" s="28"/>
      <c r="F267" s="29">
        <f>6.7*4+26</f>
        <v>52.8</v>
      </c>
      <c r="G267" s="30"/>
      <c r="H267" s="24">
        <f t="shared" si="34"/>
        <v>0</v>
      </c>
      <c r="I267" s="30"/>
      <c r="J267" s="25">
        <f t="shared" ref="J267" si="68">I267*F267</f>
        <v>0</v>
      </c>
      <c r="K267" s="30"/>
      <c r="L267" s="29"/>
      <c r="M267" s="22">
        <f t="shared" si="18"/>
        <v>0</v>
      </c>
    </row>
    <row r="268" spans="1:13" s="13" customFormat="1" ht="12.95">
      <c r="A268" s="9"/>
      <c r="B268" s="14"/>
      <c r="C268" s="15" t="s">
        <v>167</v>
      </c>
      <c r="D268" s="15"/>
      <c r="E268" s="15"/>
      <c r="F268" s="16"/>
      <c r="G268" s="17"/>
      <c r="H268" s="16"/>
      <c r="I268" s="17"/>
      <c r="J268" s="16"/>
      <c r="K268" s="17"/>
      <c r="L268" s="16"/>
      <c r="M268" s="18"/>
    </row>
    <row r="269" spans="1:13" s="13" customFormat="1" ht="24">
      <c r="A269" s="9"/>
      <c r="B269" s="26">
        <f>B267+1</f>
        <v>19</v>
      </c>
      <c r="C269" s="27" t="s">
        <v>168</v>
      </c>
      <c r="D269" s="28" t="s">
        <v>169</v>
      </c>
      <c r="E269" s="28"/>
      <c r="F269" s="29">
        <v>2</v>
      </c>
      <c r="G269" s="30"/>
      <c r="H269" s="29"/>
      <c r="I269" s="30"/>
      <c r="J269" s="29"/>
      <c r="K269" s="30"/>
      <c r="L269" s="24">
        <f t="shared" ref="L269" si="69">K269*F269</f>
        <v>0</v>
      </c>
      <c r="M269" s="22">
        <f t="shared" si="18"/>
        <v>0</v>
      </c>
    </row>
    <row r="270" spans="1:13">
      <c r="A270" s="9"/>
      <c r="B270" s="77"/>
      <c r="C270" s="28" t="s">
        <v>17</v>
      </c>
      <c r="D270" s="28"/>
      <c r="E270" s="28"/>
      <c r="F270" s="21"/>
      <c r="G270" s="21"/>
      <c r="H270" s="21">
        <f>SUM(H16:H269)</f>
        <v>0</v>
      </c>
      <c r="I270" s="79"/>
      <c r="J270" s="21">
        <f>SUM(J16:J269)</f>
        <v>0</v>
      </c>
      <c r="K270" s="79"/>
      <c r="L270" s="21">
        <f>SUM(L16:L269)</f>
        <v>0</v>
      </c>
      <c r="M270" s="78">
        <f>SUM(M16:M269)</f>
        <v>0</v>
      </c>
    </row>
    <row r="271" spans="1:13">
      <c r="A271" s="9"/>
      <c r="B271" s="70"/>
      <c r="C271" s="72" t="s">
        <v>170</v>
      </c>
      <c r="D271" s="81">
        <v>0</v>
      </c>
      <c r="E271" s="81"/>
      <c r="F271" s="76"/>
      <c r="G271" s="82"/>
      <c r="H271" s="83"/>
      <c r="I271" s="83"/>
      <c r="J271" s="83"/>
      <c r="K271" s="83"/>
      <c r="L271" s="83"/>
      <c r="M271" s="78">
        <f>H270*D271</f>
        <v>0</v>
      </c>
    </row>
    <row r="272" spans="1:13">
      <c r="A272" s="9"/>
      <c r="B272" s="44"/>
      <c r="C272" s="72" t="s">
        <v>17</v>
      </c>
      <c r="D272" s="72"/>
      <c r="E272" s="72"/>
      <c r="F272" s="72"/>
      <c r="G272" s="84"/>
      <c r="H272" s="85"/>
      <c r="I272" s="30"/>
      <c r="J272" s="30"/>
      <c r="K272" s="30"/>
      <c r="L272" s="30"/>
      <c r="M272" s="78">
        <f>M271+M270</f>
        <v>0</v>
      </c>
    </row>
    <row r="273" spans="1:13">
      <c r="A273" s="9"/>
      <c r="B273" s="26"/>
      <c r="C273" s="61" t="s">
        <v>171</v>
      </c>
      <c r="D273" s="86">
        <v>0</v>
      </c>
      <c r="E273" s="86"/>
      <c r="F273" s="61"/>
      <c r="G273" s="62"/>
      <c r="H273" s="87"/>
      <c r="I273" s="87"/>
      <c r="J273" s="87"/>
      <c r="K273" s="87"/>
      <c r="L273" s="87"/>
      <c r="M273" s="78">
        <f>M272*D273</f>
        <v>0</v>
      </c>
    </row>
    <row r="274" spans="1:13">
      <c r="A274" s="9"/>
      <c r="B274" s="26"/>
      <c r="C274" s="61" t="s">
        <v>17</v>
      </c>
      <c r="D274" s="61"/>
      <c r="E274" s="61"/>
      <c r="F274" s="61"/>
      <c r="G274" s="62"/>
      <c r="H274" s="87"/>
      <c r="I274" s="87"/>
      <c r="J274" s="87"/>
      <c r="K274" s="87"/>
      <c r="L274" s="87"/>
      <c r="M274" s="78">
        <f>M273+M272</f>
        <v>0</v>
      </c>
    </row>
    <row r="275" spans="1:13">
      <c r="A275" s="9"/>
      <c r="B275" s="26"/>
      <c r="C275" s="61" t="s">
        <v>172</v>
      </c>
      <c r="D275" s="86">
        <v>0</v>
      </c>
      <c r="E275" s="86"/>
      <c r="F275" s="61"/>
      <c r="G275" s="62"/>
      <c r="H275" s="87"/>
      <c r="I275" s="87"/>
      <c r="J275" s="87"/>
      <c r="K275" s="87"/>
      <c r="L275" s="87"/>
      <c r="M275" s="78">
        <f>M274*D275</f>
        <v>0</v>
      </c>
    </row>
    <row r="276" spans="1:13">
      <c r="A276" s="9"/>
      <c r="B276" s="26"/>
      <c r="C276" s="61" t="s">
        <v>17</v>
      </c>
      <c r="D276" s="86"/>
      <c r="E276" s="86"/>
      <c r="F276" s="61"/>
      <c r="G276" s="62"/>
      <c r="H276" s="87"/>
      <c r="I276" s="87"/>
      <c r="J276" s="87"/>
      <c r="K276" s="87"/>
      <c r="L276" s="87"/>
      <c r="M276" s="78">
        <f>M275+M274</f>
        <v>0</v>
      </c>
    </row>
    <row r="277" spans="1:13" ht="24">
      <c r="A277" s="9"/>
      <c r="B277" s="26"/>
      <c r="C277" s="28" t="s">
        <v>173</v>
      </c>
      <c r="D277" s="86">
        <v>0</v>
      </c>
      <c r="E277" s="86"/>
      <c r="F277" s="61"/>
      <c r="G277" s="62"/>
      <c r="H277" s="87"/>
      <c r="I277" s="87"/>
      <c r="J277" s="87"/>
      <c r="K277" s="87"/>
      <c r="L277" s="87"/>
      <c r="M277" s="78">
        <f>M276*D277</f>
        <v>0</v>
      </c>
    </row>
    <row r="278" spans="1:13">
      <c r="A278" s="9"/>
      <c r="B278" s="26"/>
      <c r="C278" s="61" t="s">
        <v>17</v>
      </c>
      <c r="D278" s="86"/>
      <c r="E278" s="86"/>
      <c r="F278" s="61"/>
      <c r="G278" s="62"/>
      <c r="H278" s="87"/>
      <c r="I278" s="87"/>
      <c r="J278" s="87"/>
      <c r="K278" s="87"/>
      <c r="L278" s="87"/>
      <c r="M278" s="78">
        <f>M277+M276</f>
        <v>0</v>
      </c>
    </row>
    <row r="279" spans="1:13">
      <c r="A279" s="9"/>
      <c r="B279" s="26"/>
      <c r="C279" s="61" t="s">
        <v>174</v>
      </c>
      <c r="D279" s="86">
        <v>0.18</v>
      </c>
      <c r="E279" s="86"/>
      <c r="F279" s="61"/>
      <c r="G279" s="62"/>
      <c r="H279" s="87"/>
      <c r="I279" s="87"/>
      <c r="J279" s="87"/>
      <c r="K279" s="87"/>
      <c r="L279" s="87"/>
      <c r="M279" s="78">
        <f>M278*D279</f>
        <v>0</v>
      </c>
    </row>
    <row r="280" spans="1:13" ht="15" thickBot="1">
      <c r="A280" s="9"/>
      <c r="B280" s="88"/>
      <c r="C280" s="89" t="s">
        <v>17</v>
      </c>
      <c r="D280" s="90"/>
      <c r="E280" s="90"/>
      <c r="F280" s="89"/>
      <c r="G280" s="91"/>
      <c r="H280" s="92"/>
      <c r="I280" s="92"/>
      <c r="J280" s="92"/>
      <c r="K280" s="92"/>
      <c r="L280" s="92"/>
      <c r="M280" s="93">
        <f>M279+M278</f>
        <v>0</v>
      </c>
    </row>
    <row r="281" spans="1:13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</row>
    <row r="282" spans="1:13">
      <c r="G282" s="94"/>
      <c r="M282" s="100"/>
    </row>
    <row r="283" spans="1:13">
      <c r="M283" s="100"/>
    </row>
    <row r="284" spans="1:13">
      <c r="M284" s="100"/>
    </row>
    <row r="285" spans="1:13">
      <c r="M285" s="100"/>
    </row>
    <row r="286" spans="1:13">
      <c r="M286" s="100"/>
    </row>
    <row r="288" spans="1:13">
      <c r="M288" s="100"/>
    </row>
  </sheetData>
  <mergeCells count="23">
    <mergeCell ref="B281:M281"/>
    <mergeCell ref="B7:C7"/>
    <mergeCell ref="L7:M7"/>
    <mergeCell ref="B8:C8"/>
    <mergeCell ref="L9:M9"/>
    <mergeCell ref="B10:B13"/>
    <mergeCell ref="D10:D13"/>
    <mergeCell ref="E10:E13"/>
    <mergeCell ref="F10:F13"/>
    <mergeCell ref="G10:H11"/>
    <mergeCell ref="I10:J11"/>
    <mergeCell ref="K10:L11"/>
    <mergeCell ref="M10:M13"/>
    <mergeCell ref="H12:H13"/>
    <mergeCell ref="J12:J13"/>
    <mergeCell ref="L12:L13"/>
    <mergeCell ref="B1:M1"/>
    <mergeCell ref="B2:M2"/>
    <mergeCell ref="B3:M3"/>
    <mergeCell ref="B4:M4"/>
    <mergeCell ref="B6:F6"/>
    <mergeCell ref="I6:K6"/>
    <mergeCell ref="L6:M6"/>
  </mergeCells>
  <conditionalFormatting sqref="F272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Akaki Romelashvili</dc:creator>
  <cp:keywords/>
  <dc:description/>
  <cp:lastModifiedBy/>
  <cp:revision/>
  <dcterms:created xsi:type="dcterms:W3CDTF">2015-06-05T18:17:20Z</dcterms:created>
  <dcterms:modified xsi:type="dcterms:W3CDTF">2024-03-20T06:27:41Z</dcterms:modified>
  <cp:category/>
  <cp:contentStatus/>
</cp:coreProperties>
</file>