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66925"/>
  <mc:AlternateContent xmlns:mc="http://schemas.openxmlformats.org/markup-compatibility/2006">
    <mc:Choice Requires="x15">
      <x15ac:absPath xmlns:x15ac="http://schemas.microsoft.com/office/spreadsheetml/2010/11/ac" url="G:\My Drive\Tbilisi Hills\Mixed Use\"/>
    </mc:Choice>
  </mc:AlternateContent>
  <xr:revisionPtr revIDLastSave="0" documentId="13_ncr:1_{B6A2BA9F-4A08-4AE2-9431-896EB267CEE0}" xr6:coauthVersionLast="40" xr6:coauthVersionMax="40" xr10:uidLastSave="{00000000-0000-0000-0000-000000000000}"/>
  <bookViews>
    <workbookView xWindow="-108" yWindow="-108" windowWidth="23256" windowHeight="12456" activeTab="6" xr2:uid="{DC723BD4-2860-4A56-839A-E55F4D014CBE}"/>
  </bookViews>
  <sheets>
    <sheet name="r-concrete" sheetId="1" r:id="rId1"/>
    <sheet name="Optional" sheetId="3" r:id="rId2"/>
    <sheet name="Atrium" sheetId="4" r:id="rId3"/>
    <sheet name="MASONRY BLOCK " sheetId="5" r:id="rId4"/>
    <sheet name="Roofing" sheetId="6" r:id="rId5"/>
    <sheet name="Waterproofing" sheetId="7" r:id="rId6"/>
    <sheet name="Terrace waterproofing" sheetId="8" r:id="rId7"/>
  </sheets>
  <definedNames>
    <definedName name="_xlnm._FilterDatabase" localSheetId="3" hidden="1">'MASONRY BLOCK '!$A$6:$M$126</definedName>
    <definedName name="_xlnm._FilterDatabase" localSheetId="0" hidden="1">'r-concrete'!$A$6:$M$530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7" l="1"/>
  <c r="F71" i="7"/>
  <c r="E109" i="5"/>
  <c r="E108" i="5"/>
  <c r="E107" i="5"/>
  <c r="F105" i="5"/>
  <c r="F106" i="5" s="1"/>
  <c r="J106" i="5" s="1"/>
  <c r="M106" i="5" s="1"/>
  <c r="E103" i="5"/>
  <c r="E102" i="5"/>
  <c r="E101" i="5"/>
  <c r="F99" i="5"/>
  <c r="F100" i="5" s="1"/>
  <c r="J100" i="5" s="1"/>
  <c r="M100" i="5" s="1"/>
  <c r="F55" i="5"/>
  <c r="F49" i="5"/>
  <c r="F44" i="5"/>
  <c r="F45" i="5" s="1"/>
  <c r="F50" i="5"/>
  <c r="F51" i="5" s="1"/>
  <c r="F107" i="5" l="1"/>
  <c r="H107" i="5" s="1"/>
  <c r="M107" i="5" s="1"/>
  <c r="F108" i="5"/>
  <c r="H108" i="5" s="1"/>
  <c r="M108" i="5" s="1"/>
  <c r="F101" i="5"/>
  <c r="H101" i="5" s="1"/>
  <c r="M101" i="5" s="1"/>
  <c r="F102" i="5"/>
  <c r="H102" i="5" s="1"/>
  <c r="M102" i="5" s="1"/>
  <c r="F103" i="5"/>
  <c r="H103" i="5" s="1"/>
  <c r="M103" i="5" s="1"/>
  <c r="F109" i="5"/>
  <c r="H109" i="5" s="1"/>
  <c r="M109" i="5" s="1"/>
  <c r="F104" i="5"/>
  <c r="H104" i="5" s="1"/>
  <c r="M104" i="5" s="1"/>
  <c r="F110" i="5"/>
  <c r="H110" i="5" s="1"/>
  <c r="M110" i="5" s="1"/>
  <c r="E47" i="5" l="1"/>
  <c r="E53" i="5"/>
  <c r="E52" i="5"/>
  <c r="F52" i="5" s="1"/>
  <c r="H55" i="5"/>
  <c r="M55" i="5" s="1"/>
  <c r="E54" i="5"/>
  <c r="H52" i="5"/>
  <c r="M52" i="5" s="1"/>
  <c r="J51" i="5"/>
  <c r="M51" i="5" s="1"/>
  <c r="J45" i="5"/>
  <c r="M45" i="5" s="1"/>
  <c r="E46" i="5"/>
  <c r="F46" i="5" s="1"/>
  <c r="H46" i="5"/>
  <c r="M46" i="5" s="1"/>
  <c r="E48" i="5"/>
  <c r="F48" i="5" s="1"/>
  <c r="H48" i="5" s="1"/>
  <c r="M48" i="5" s="1"/>
  <c r="H49" i="5"/>
  <c r="M49" i="5" s="1"/>
  <c r="F74" i="7"/>
  <c r="F73" i="7"/>
  <c r="H74" i="7"/>
  <c r="M74" i="7" s="1"/>
  <c r="H73" i="7"/>
  <c r="M73" i="7" s="1"/>
  <c r="F72" i="7"/>
  <c r="J72" i="7" s="1"/>
  <c r="M72" i="7" s="1"/>
  <c r="F31" i="7"/>
  <c r="F30" i="7"/>
  <c r="F29" i="7"/>
  <c r="J29" i="7" s="1"/>
  <c r="M29" i="7" s="1"/>
  <c r="H31" i="7"/>
  <c r="M31" i="7" s="1"/>
  <c r="H30" i="7"/>
  <c r="M30" i="7" s="1"/>
  <c r="M286" i="1"/>
  <c r="F54" i="5" l="1"/>
  <c r="H54" i="5" s="1"/>
  <c r="M54" i="5" s="1"/>
  <c r="F53" i="5"/>
  <c r="H53" i="5" s="1"/>
  <c r="M53" i="5" s="1"/>
  <c r="F47" i="5"/>
  <c r="H47" i="5" s="1"/>
  <c r="M47" i="5" s="1"/>
  <c r="F508" i="1"/>
  <c r="F507" i="1"/>
  <c r="F502" i="1"/>
  <c r="F501" i="1"/>
  <c r="F484" i="1"/>
  <c r="F483" i="1"/>
  <c r="F482" i="1"/>
  <c r="F474" i="1"/>
  <c r="F473" i="1"/>
  <c r="F456" i="1"/>
  <c r="F455" i="1"/>
  <c r="F454" i="1"/>
  <c r="F448" i="1"/>
  <c r="F447" i="1"/>
  <c r="F446" i="1"/>
  <c r="F441" i="1"/>
  <c r="F440" i="1"/>
  <c r="F435" i="1"/>
  <c r="F434" i="1"/>
  <c r="F399" i="1"/>
  <c r="F398" i="1"/>
  <c r="F397" i="1"/>
  <c r="F396" i="1"/>
  <c r="F390" i="1"/>
  <c r="F389" i="1"/>
  <c r="F388" i="1"/>
  <c r="F383" i="1"/>
  <c r="F382" i="1"/>
  <c r="F376" i="1"/>
  <c r="F375" i="1"/>
  <c r="F374" i="1"/>
  <c r="F369" i="1"/>
  <c r="F368" i="1"/>
  <c r="F324" i="1"/>
  <c r="F323" i="1"/>
  <c r="F317" i="1"/>
  <c r="F316" i="1"/>
  <c r="F315" i="1"/>
  <c r="F310" i="1"/>
  <c r="F309" i="1"/>
  <c r="F303" i="1"/>
  <c r="F298" i="1"/>
  <c r="F297" i="1"/>
  <c r="F296" i="1"/>
  <c r="F255" i="1"/>
  <c r="F254" i="1"/>
  <c r="F248" i="1"/>
  <c r="F247" i="1"/>
  <c r="F246" i="1"/>
  <c r="F245" i="1"/>
  <c r="F240" i="1"/>
  <c r="F239" i="1"/>
  <c r="F233" i="1"/>
  <c r="F232" i="1"/>
  <c r="F227" i="1"/>
  <c r="F226" i="1"/>
  <c r="F225" i="1"/>
  <c r="F182" i="1"/>
  <c r="F181" i="1"/>
  <c r="F175" i="1"/>
  <c r="F174" i="1"/>
  <c r="F173" i="1"/>
  <c r="F168" i="1"/>
  <c r="F167" i="1"/>
  <c r="F161" i="1"/>
  <c r="F160" i="1"/>
  <c r="F155" i="1"/>
  <c r="F154" i="1"/>
  <c r="F153" i="1"/>
  <c r="F111" i="1"/>
  <c r="F110" i="1"/>
  <c r="F104" i="1"/>
  <c r="F103" i="1"/>
  <c r="F98" i="1"/>
  <c r="F97" i="1"/>
  <c r="F96" i="1"/>
  <c r="F91" i="1"/>
  <c r="F90" i="1"/>
  <c r="F55" i="1"/>
  <c r="F54" i="1"/>
  <c r="F53" i="1"/>
  <c r="F52" i="1"/>
  <c r="F516" i="1"/>
  <c r="F515" i="1"/>
  <c r="F493" i="1"/>
  <c r="F492" i="1"/>
  <c r="F491" i="1"/>
  <c r="F465" i="1"/>
  <c r="F464" i="1"/>
  <c r="F427" i="1"/>
  <c r="F426" i="1"/>
  <c r="F425" i="1"/>
  <c r="F419" i="1"/>
  <c r="F418" i="1"/>
  <c r="F417" i="1"/>
  <c r="F412" i="1"/>
  <c r="F411" i="1"/>
  <c r="F406" i="1"/>
  <c r="F405" i="1"/>
  <c r="F361" i="1"/>
  <c r="F360" i="1"/>
  <c r="F359" i="1"/>
  <c r="F358" i="1"/>
  <c r="F352" i="1"/>
  <c r="F351" i="1"/>
  <c r="F350" i="1"/>
  <c r="F345" i="1"/>
  <c r="F344" i="1"/>
  <c r="F338" i="1"/>
  <c r="F337" i="1"/>
  <c r="F336" i="1"/>
  <c r="F331" i="1"/>
  <c r="F330" i="1"/>
  <c r="F289" i="1"/>
  <c r="F288" i="1"/>
  <c r="F282" i="1"/>
  <c r="F281" i="1"/>
  <c r="F280" i="1"/>
  <c r="F275" i="1"/>
  <c r="F274" i="1"/>
  <c r="F268" i="1"/>
  <c r="F263" i="1"/>
  <c r="F262" i="1"/>
  <c r="F261" i="1"/>
  <c r="F218" i="1"/>
  <c r="F217" i="1"/>
  <c r="F211" i="1"/>
  <c r="F210" i="1"/>
  <c r="F209" i="1"/>
  <c r="F208" i="1"/>
  <c r="F203" i="1"/>
  <c r="F202" i="1"/>
  <c r="F196" i="1"/>
  <c r="F195" i="1"/>
  <c r="F190" i="1"/>
  <c r="F189" i="1"/>
  <c r="F188" i="1"/>
  <c r="F146" i="1"/>
  <c r="F145" i="1"/>
  <c r="F139" i="1"/>
  <c r="F138" i="1"/>
  <c r="F137" i="1"/>
  <c r="F132" i="1"/>
  <c r="F131" i="1"/>
  <c r="F125" i="1"/>
  <c r="F124" i="1"/>
  <c r="F119" i="1"/>
  <c r="F118" i="1"/>
  <c r="F117" i="1"/>
  <c r="F83" i="1"/>
  <c r="F82" i="1"/>
  <c r="F76" i="1"/>
  <c r="F75" i="1"/>
  <c r="F70" i="1"/>
  <c r="F69" i="1"/>
  <c r="F68" i="1"/>
  <c r="F63" i="1"/>
  <c r="F62" i="1"/>
  <c r="F30" i="1"/>
  <c r="F29" i="1"/>
  <c r="F28" i="1"/>
  <c r="F27" i="1"/>
  <c r="F480" i="1" l="1"/>
  <c r="J480" i="1" s="1"/>
  <c r="F489" i="1"/>
  <c r="J489" i="1" s="1"/>
  <c r="F34" i="8" l="1"/>
  <c r="H34" i="8" s="1"/>
  <c r="F12" i="8"/>
  <c r="J12" i="8" s="1"/>
  <c r="J34" i="8" l="1"/>
  <c r="M34" i="8" s="1"/>
  <c r="H12" i="8"/>
  <c r="M12" i="8" s="1"/>
  <c r="F37" i="1"/>
  <c r="J37" i="1" s="1"/>
  <c r="M37" i="1" s="1"/>
  <c r="F12" i="1"/>
  <c r="J12" i="1" s="1"/>
  <c r="M12" i="1" s="1"/>
  <c r="F48" i="1"/>
  <c r="H48" i="1" s="1"/>
  <c r="M48" i="1" s="1"/>
  <c r="F47" i="1"/>
  <c r="H47" i="1" s="1"/>
  <c r="M47" i="1" s="1"/>
  <c r="F46" i="1"/>
  <c r="J46" i="1" s="1"/>
  <c r="M46" i="1" s="1"/>
  <c r="F23" i="1"/>
  <c r="H23" i="1" s="1"/>
  <c r="M23" i="1" s="1"/>
  <c r="F22" i="1"/>
  <c r="H22" i="1" s="1"/>
  <c r="M22" i="1" s="1"/>
  <c r="F21" i="1"/>
  <c r="J21" i="1" s="1"/>
  <c r="M21" i="1" s="1"/>
  <c r="L51" i="8" l="1"/>
  <c r="F47" i="8"/>
  <c r="H47" i="8" s="1"/>
  <c r="M47" i="8" s="1"/>
  <c r="F46" i="8"/>
  <c r="H46" i="8" s="1"/>
  <c r="M46" i="8" s="1"/>
  <c r="F45" i="8"/>
  <c r="H45" i="8" s="1"/>
  <c r="M45" i="8" s="1"/>
  <c r="F41" i="8"/>
  <c r="F44" i="8" s="1"/>
  <c r="H44" i="8" s="1"/>
  <c r="M44" i="8" s="1"/>
  <c r="F40" i="8"/>
  <c r="H40" i="8" s="1"/>
  <c r="M40" i="8" s="1"/>
  <c r="F39" i="8"/>
  <c r="H39" i="8" s="1"/>
  <c r="M39" i="8" s="1"/>
  <c r="F36" i="8"/>
  <c r="F38" i="8" s="1"/>
  <c r="H38" i="8" s="1"/>
  <c r="M38" i="8" s="1"/>
  <c r="F35" i="8"/>
  <c r="J35" i="8" s="1"/>
  <c r="F33" i="8"/>
  <c r="J33" i="8" s="1"/>
  <c r="F32" i="8"/>
  <c r="J32" i="8" s="1"/>
  <c r="F31" i="8"/>
  <c r="J31" i="8" s="1"/>
  <c r="M31" i="8" s="1"/>
  <c r="F26" i="8"/>
  <c r="F28" i="8" s="1"/>
  <c r="H28" i="8" s="1"/>
  <c r="M28" i="8" s="1"/>
  <c r="H25" i="8"/>
  <c r="M25" i="8" s="1"/>
  <c r="F25" i="8"/>
  <c r="F24" i="8"/>
  <c r="H24" i="8" s="1"/>
  <c r="M24" i="8" s="1"/>
  <c r="F23" i="8"/>
  <c r="H23" i="8" s="1"/>
  <c r="M23" i="8" s="1"/>
  <c r="F22" i="8"/>
  <c r="H22" i="8" s="1"/>
  <c r="M22" i="8" s="1"/>
  <c r="F21" i="8"/>
  <c r="H21" i="8" s="1"/>
  <c r="M21" i="8" s="1"/>
  <c r="F20" i="8"/>
  <c r="J20" i="8" s="1"/>
  <c r="M20" i="8" s="1"/>
  <c r="F18" i="8"/>
  <c r="H18" i="8" s="1"/>
  <c r="M18" i="8" s="1"/>
  <c r="F17" i="8"/>
  <c r="H17" i="8" s="1"/>
  <c r="M17" i="8" s="1"/>
  <c r="F16" i="8"/>
  <c r="H16" i="8" s="1"/>
  <c r="M16" i="8" s="1"/>
  <c r="F15" i="8"/>
  <c r="J15" i="8" s="1"/>
  <c r="M15" i="8" s="1"/>
  <c r="F13" i="8"/>
  <c r="H13" i="8" s="1"/>
  <c r="F11" i="8"/>
  <c r="J11" i="8" s="1"/>
  <c r="F10" i="8"/>
  <c r="J10" i="8" s="1"/>
  <c r="F9" i="8"/>
  <c r="J9" i="8" s="1"/>
  <c r="L92" i="7"/>
  <c r="F91" i="7"/>
  <c r="H91" i="7" s="1"/>
  <c r="M91" i="7" s="1"/>
  <c r="F90" i="7"/>
  <c r="H90" i="7" s="1"/>
  <c r="M90" i="7" s="1"/>
  <c r="F89" i="7"/>
  <c r="J89" i="7" s="1"/>
  <c r="M89" i="7" s="1"/>
  <c r="F80" i="7"/>
  <c r="F82" i="7" s="1"/>
  <c r="H82" i="7" s="1"/>
  <c r="M82" i="7" s="1"/>
  <c r="F79" i="7"/>
  <c r="H79" i="7" s="1"/>
  <c r="M79" i="7" s="1"/>
  <c r="F78" i="7"/>
  <c r="H78" i="7" s="1"/>
  <c r="M78" i="7" s="1"/>
  <c r="F77" i="7"/>
  <c r="J77" i="7" s="1"/>
  <c r="M77" i="7" s="1"/>
  <c r="F58" i="7"/>
  <c r="F59" i="7" s="1"/>
  <c r="J59" i="7" s="1"/>
  <c r="M59" i="7" s="1"/>
  <c r="F55" i="7"/>
  <c r="F57" i="7" s="1"/>
  <c r="H57" i="7" s="1"/>
  <c r="M57" i="7" s="1"/>
  <c r="F54" i="7"/>
  <c r="H54" i="7" s="1"/>
  <c r="M54" i="7" s="1"/>
  <c r="F53" i="7"/>
  <c r="J53" i="7" s="1"/>
  <c r="M53" i="7" s="1"/>
  <c r="F49" i="7"/>
  <c r="H49" i="7" s="1"/>
  <c r="M49" i="7" s="1"/>
  <c r="F48" i="7"/>
  <c r="H48" i="7" s="1"/>
  <c r="M48" i="7" s="1"/>
  <c r="F47" i="7"/>
  <c r="J47" i="7" s="1"/>
  <c r="M47" i="7" s="1"/>
  <c r="F37" i="7"/>
  <c r="F41" i="7" s="1"/>
  <c r="H41" i="7" s="1"/>
  <c r="M41" i="7" s="1"/>
  <c r="F36" i="7"/>
  <c r="H36" i="7" s="1"/>
  <c r="M36" i="7" s="1"/>
  <c r="F35" i="7"/>
  <c r="H35" i="7" s="1"/>
  <c r="M35" i="7" s="1"/>
  <c r="F34" i="7"/>
  <c r="J34" i="7" s="1"/>
  <c r="M34" i="7" s="1"/>
  <c r="F15" i="7"/>
  <c r="F17" i="7" s="1"/>
  <c r="F12" i="7"/>
  <c r="F13" i="7" s="1"/>
  <c r="J13" i="7" s="1"/>
  <c r="M13" i="7" s="1"/>
  <c r="F11" i="7"/>
  <c r="H11" i="7" s="1"/>
  <c r="M11" i="7" s="1"/>
  <c r="F10" i="7"/>
  <c r="J10" i="7" s="1"/>
  <c r="L127" i="6"/>
  <c r="F126" i="6"/>
  <c r="H126" i="6" s="1"/>
  <c r="M126" i="6" s="1"/>
  <c r="F125" i="6"/>
  <c r="H125" i="6" s="1"/>
  <c r="M125" i="6" s="1"/>
  <c r="F124" i="6"/>
  <c r="H124" i="6" s="1"/>
  <c r="M124" i="6" s="1"/>
  <c r="F123" i="6"/>
  <c r="J123" i="6" s="1"/>
  <c r="M123" i="6" s="1"/>
  <c r="J122" i="6"/>
  <c r="H122" i="6"/>
  <c r="F121" i="6"/>
  <c r="H121" i="6" s="1"/>
  <c r="M121" i="6" s="1"/>
  <c r="F120" i="6"/>
  <c r="H120" i="6" s="1"/>
  <c r="M120" i="6" s="1"/>
  <c r="J119" i="6"/>
  <c r="M119" i="6" s="1"/>
  <c r="F119" i="6"/>
  <c r="F117" i="6"/>
  <c r="H117" i="6" s="1"/>
  <c r="M117" i="6" s="1"/>
  <c r="F116" i="6"/>
  <c r="H116" i="6" s="1"/>
  <c r="M116" i="6" s="1"/>
  <c r="F115" i="6"/>
  <c r="H115" i="6" s="1"/>
  <c r="M115" i="6" s="1"/>
  <c r="F114" i="6"/>
  <c r="H114" i="6" s="1"/>
  <c r="M114" i="6" s="1"/>
  <c r="F113" i="6"/>
  <c r="H113" i="6" s="1"/>
  <c r="M113" i="6" s="1"/>
  <c r="F112" i="6"/>
  <c r="J112" i="6" s="1"/>
  <c r="M112" i="6" s="1"/>
  <c r="F109" i="6"/>
  <c r="H109" i="6" s="1"/>
  <c r="M109" i="6" s="1"/>
  <c r="F108" i="6"/>
  <c r="H108" i="6" s="1"/>
  <c r="M108" i="6" s="1"/>
  <c r="F107" i="6"/>
  <c r="J107" i="6" s="1"/>
  <c r="M107" i="6" s="1"/>
  <c r="E98" i="6"/>
  <c r="F98" i="6" s="1"/>
  <c r="F96" i="6"/>
  <c r="F99" i="6" s="1"/>
  <c r="F95" i="6"/>
  <c r="H95" i="6" s="1"/>
  <c r="M95" i="6" s="1"/>
  <c r="F94" i="6"/>
  <c r="H94" i="6" s="1"/>
  <c r="M94" i="6" s="1"/>
  <c r="F93" i="6"/>
  <c r="H93" i="6" s="1"/>
  <c r="M93" i="6" s="1"/>
  <c r="F92" i="6"/>
  <c r="J92" i="6" s="1"/>
  <c r="M92" i="6" s="1"/>
  <c r="F90" i="6"/>
  <c r="H90" i="6" s="1"/>
  <c r="M90" i="6" s="1"/>
  <c r="F89" i="6"/>
  <c r="H89" i="6" s="1"/>
  <c r="M89" i="6" s="1"/>
  <c r="F88" i="6"/>
  <c r="H88" i="6" s="1"/>
  <c r="M88" i="6" s="1"/>
  <c r="F87" i="6"/>
  <c r="H87" i="6" s="1"/>
  <c r="M87" i="6" s="1"/>
  <c r="F86" i="6"/>
  <c r="H86" i="6" s="1"/>
  <c r="M86" i="6" s="1"/>
  <c r="F85" i="6"/>
  <c r="J85" i="6" s="1"/>
  <c r="M85" i="6" s="1"/>
  <c r="F83" i="6"/>
  <c r="H83" i="6" s="1"/>
  <c r="M83" i="6" s="1"/>
  <c r="F81" i="6"/>
  <c r="F82" i="6" s="1"/>
  <c r="J82" i="6" s="1"/>
  <c r="M82" i="6" s="1"/>
  <c r="F80" i="6"/>
  <c r="J80" i="6" s="1"/>
  <c r="E79" i="6"/>
  <c r="F79" i="6" s="1"/>
  <c r="J79" i="6" s="1"/>
  <c r="F78" i="6"/>
  <c r="J78" i="6" s="1"/>
  <c r="F75" i="6"/>
  <c r="H75" i="6" s="1"/>
  <c r="M75" i="6" s="1"/>
  <c r="F74" i="6"/>
  <c r="H74" i="6" s="1"/>
  <c r="M74" i="6" s="1"/>
  <c r="F73" i="6"/>
  <c r="H73" i="6" s="1"/>
  <c r="M73" i="6" s="1"/>
  <c r="F72" i="6"/>
  <c r="J72" i="6" s="1"/>
  <c r="M72" i="6" s="1"/>
  <c r="J71" i="6"/>
  <c r="M71" i="6" s="1"/>
  <c r="H71" i="6"/>
  <c r="H70" i="6"/>
  <c r="M70" i="6" s="1"/>
  <c r="F70" i="6"/>
  <c r="F69" i="6"/>
  <c r="H69" i="6" s="1"/>
  <c r="M69" i="6" s="1"/>
  <c r="F68" i="6"/>
  <c r="J68" i="6" s="1"/>
  <c r="M68" i="6" s="1"/>
  <c r="J67" i="6"/>
  <c r="M67" i="6" s="1"/>
  <c r="H67" i="6"/>
  <c r="F66" i="6"/>
  <c r="H66" i="6" s="1"/>
  <c r="M66" i="6" s="1"/>
  <c r="F65" i="6"/>
  <c r="H65" i="6" s="1"/>
  <c r="M65" i="6" s="1"/>
  <c r="F64" i="6"/>
  <c r="H64" i="6" s="1"/>
  <c r="M64" i="6" s="1"/>
  <c r="F63" i="6"/>
  <c r="H63" i="6" s="1"/>
  <c r="M63" i="6" s="1"/>
  <c r="F62" i="6"/>
  <c r="H62" i="6" s="1"/>
  <c r="M62" i="6" s="1"/>
  <c r="F61" i="6"/>
  <c r="J61" i="6" s="1"/>
  <c r="M61" i="6" s="1"/>
  <c r="F58" i="6"/>
  <c r="H58" i="6" s="1"/>
  <c r="M58" i="6" s="1"/>
  <c r="F57" i="6"/>
  <c r="H57" i="6" s="1"/>
  <c r="M57" i="6" s="1"/>
  <c r="F56" i="6"/>
  <c r="J56" i="6" s="1"/>
  <c r="M56" i="6" s="1"/>
  <c r="F50" i="6"/>
  <c r="J50" i="6" s="1"/>
  <c r="M50" i="6" s="1"/>
  <c r="F49" i="6"/>
  <c r="E47" i="6"/>
  <c r="F45" i="6"/>
  <c r="F44" i="6"/>
  <c r="H44" i="6" s="1"/>
  <c r="M44" i="6" s="1"/>
  <c r="H43" i="6"/>
  <c r="M43" i="6" s="1"/>
  <c r="F43" i="6"/>
  <c r="F42" i="6"/>
  <c r="H42" i="6" s="1"/>
  <c r="M42" i="6" s="1"/>
  <c r="M41" i="6"/>
  <c r="F41" i="6"/>
  <c r="J41" i="6" s="1"/>
  <c r="F39" i="6"/>
  <c r="H39" i="6" s="1"/>
  <c r="M39" i="6" s="1"/>
  <c r="F38" i="6"/>
  <c r="H38" i="6" s="1"/>
  <c r="M38" i="6" s="1"/>
  <c r="F37" i="6"/>
  <c r="H37" i="6" s="1"/>
  <c r="M37" i="6" s="1"/>
  <c r="F36" i="6"/>
  <c r="H36" i="6" s="1"/>
  <c r="M36" i="6" s="1"/>
  <c r="F35" i="6"/>
  <c r="H35" i="6" s="1"/>
  <c r="M35" i="6" s="1"/>
  <c r="F34" i="6"/>
  <c r="J34" i="6" s="1"/>
  <c r="M34" i="6" s="1"/>
  <c r="F30" i="6"/>
  <c r="F32" i="6" s="1"/>
  <c r="H32" i="6" s="1"/>
  <c r="M32" i="6" s="1"/>
  <c r="F29" i="6"/>
  <c r="E28" i="6"/>
  <c r="F28" i="6" s="1"/>
  <c r="F27" i="6"/>
  <c r="J27" i="6" s="1"/>
  <c r="F17" i="6"/>
  <c r="F9" i="6"/>
  <c r="L118" i="5"/>
  <c r="F117" i="5"/>
  <c r="H117" i="5" s="1"/>
  <c r="M117" i="5" s="1"/>
  <c r="F116" i="5"/>
  <c r="H116" i="5" s="1"/>
  <c r="M116" i="5" s="1"/>
  <c r="F115" i="5"/>
  <c r="H115" i="5" s="1"/>
  <c r="M115" i="5" s="1"/>
  <c r="F114" i="5"/>
  <c r="H114" i="5" s="1"/>
  <c r="M114" i="5" s="1"/>
  <c r="F113" i="5"/>
  <c r="H113" i="5" s="1"/>
  <c r="M113" i="5" s="1"/>
  <c r="F112" i="5"/>
  <c r="J112" i="5" s="1"/>
  <c r="M112" i="5" s="1"/>
  <c r="F98" i="5"/>
  <c r="H98" i="5" s="1"/>
  <c r="M98" i="5" s="1"/>
  <c r="F97" i="5"/>
  <c r="H97" i="5" s="1"/>
  <c r="F96" i="5"/>
  <c r="H96" i="5" s="1"/>
  <c r="M96" i="5" s="1"/>
  <c r="F95" i="5"/>
  <c r="H95" i="5" s="1"/>
  <c r="M95" i="5" s="1"/>
  <c r="F94" i="5"/>
  <c r="H94" i="5" s="1"/>
  <c r="M94" i="5" s="1"/>
  <c r="F93" i="5"/>
  <c r="J93" i="5" s="1"/>
  <c r="M93" i="5" s="1"/>
  <c r="F91" i="5"/>
  <c r="H91" i="5" s="1"/>
  <c r="M91" i="5" s="1"/>
  <c r="F90" i="5"/>
  <c r="H90" i="5" s="1"/>
  <c r="F89" i="5"/>
  <c r="H89" i="5" s="1"/>
  <c r="M89" i="5" s="1"/>
  <c r="F88" i="5"/>
  <c r="H88" i="5" s="1"/>
  <c r="M88" i="5" s="1"/>
  <c r="F87" i="5"/>
  <c r="H87" i="5" s="1"/>
  <c r="M87" i="5" s="1"/>
  <c r="F86" i="5"/>
  <c r="J86" i="5" s="1"/>
  <c r="M86" i="5" s="1"/>
  <c r="F84" i="5"/>
  <c r="H84" i="5" s="1"/>
  <c r="M84" i="5" s="1"/>
  <c r="F83" i="5"/>
  <c r="H83" i="5" s="1"/>
  <c r="F82" i="5"/>
  <c r="H82" i="5" s="1"/>
  <c r="M82" i="5" s="1"/>
  <c r="F81" i="5"/>
  <c r="H81" i="5" s="1"/>
  <c r="M81" i="5" s="1"/>
  <c r="F80" i="5"/>
  <c r="H80" i="5" s="1"/>
  <c r="M80" i="5" s="1"/>
  <c r="F79" i="5"/>
  <c r="J79" i="5" s="1"/>
  <c r="M79" i="5" s="1"/>
  <c r="F77" i="5"/>
  <c r="H77" i="5" s="1"/>
  <c r="M77" i="5" s="1"/>
  <c r="F76" i="5"/>
  <c r="H76" i="5" s="1"/>
  <c r="F75" i="5"/>
  <c r="H75" i="5" s="1"/>
  <c r="M75" i="5" s="1"/>
  <c r="F74" i="5"/>
  <c r="H74" i="5" s="1"/>
  <c r="M74" i="5" s="1"/>
  <c r="F73" i="5"/>
  <c r="H73" i="5" s="1"/>
  <c r="M73" i="5" s="1"/>
  <c r="F72" i="5"/>
  <c r="J72" i="5" s="1"/>
  <c r="M72" i="5" s="1"/>
  <c r="F70" i="5"/>
  <c r="H70" i="5" s="1"/>
  <c r="M70" i="5" s="1"/>
  <c r="F69" i="5"/>
  <c r="H69" i="5" s="1"/>
  <c r="F68" i="5"/>
  <c r="H68" i="5" s="1"/>
  <c r="M68" i="5" s="1"/>
  <c r="F67" i="5"/>
  <c r="H67" i="5" s="1"/>
  <c r="M67" i="5" s="1"/>
  <c r="F66" i="5"/>
  <c r="H66" i="5" s="1"/>
  <c r="M66" i="5" s="1"/>
  <c r="F65" i="5"/>
  <c r="J65" i="5" s="1"/>
  <c r="M65" i="5" s="1"/>
  <c r="F62" i="5"/>
  <c r="H62" i="5" s="1"/>
  <c r="M62" i="5" s="1"/>
  <c r="F61" i="5"/>
  <c r="H61" i="5" s="1"/>
  <c r="M61" i="5" s="1"/>
  <c r="F60" i="5"/>
  <c r="H60" i="5" s="1"/>
  <c r="M60" i="5" s="1"/>
  <c r="F59" i="5"/>
  <c r="H59" i="5" s="1"/>
  <c r="M59" i="5" s="1"/>
  <c r="F58" i="5"/>
  <c r="H58" i="5" s="1"/>
  <c r="M58" i="5" s="1"/>
  <c r="F57" i="5"/>
  <c r="J57" i="5" s="1"/>
  <c r="M57" i="5" s="1"/>
  <c r="F43" i="5"/>
  <c r="H43" i="5" s="1"/>
  <c r="M43" i="5" s="1"/>
  <c r="F42" i="5"/>
  <c r="H42" i="5" s="1"/>
  <c r="F41" i="5"/>
  <c r="H41" i="5" s="1"/>
  <c r="M41" i="5" s="1"/>
  <c r="F40" i="5"/>
  <c r="H40" i="5" s="1"/>
  <c r="M40" i="5" s="1"/>
  <c r="F39" i="5"/>
  <c r="H39" i="5" s="1"/>
  <c r="M39" i="5" s="1"/>
  <c r="F38" i="5"/>
  <c r="J38" i="5" s="1"/>
  <c r="M38" i="5" s="1"/>
  <c r="F36" i="5"/>
  <c r="H36" i="5" s="1"/>
  <c r="M36" i="5" s="1"/>
  <c r="F35" i="5"/>
  <c r="H35" i="5" s="1"/>
  <c r="F34" i="5"/>
  <c r="H34" i="5" s="1"/>
  <c r="M34" i="5" s="1"/>
  <c r="F33" i="5"/>
  <c r="H33" i="5" s="1"/>
  <c r="M33" i="5" s="1"/>
  <c r="F32" i="5"/>
  <c r="H32" i="5" s="1"/>
  <c r="M32" i="5" s="1"/>
  <c r="F31" i="5"/>
  <c r="J31" i="5" s="1"/>
  <c r="M31" i="5" s="1"/>
  <c r="F29" i="5"/>
  <c r="H29" i="5" s="1"/>
  <c r="M29" i="5" s="1"/>
  <c r="F28" i="5"/>
  <c r="H28" i="5" s="1"/>
  <c r="F27" i="5"/>
  <c r="H27" i="5" s="1"/>
  <c r="M27" i="5" s="1"/>
  <c r="F26" i="5"/>
  <c r="H26" i="5" s="1"/>
  <c r="M26" i="5" s="1"/>
  <c r="F25" i="5"/>
  <c r="H25" i="5" s="1"/>
  <c r="M25" i="5" s="1"/>
  <c r="F24" i="5"/>
  <c r="J24" i="5" s="1"/>
  <c r="M24" i="5" s="1"/>
  <c r="M23" i="5"/>
  <c r="F22" i="5"/>
  <c r="H22" i="5" s="1"/>
  <c r="M22" i="5" s="1"/>
  <c r="F21" i="5"/>
  <c r="H21" i="5" s="1"/>
  <c r="F20" i="5"/>
  <c r="H20" i="5" s="1"/>
  <c r="M20" i="5" s="1"/>
  <c r="F19" i="5"/>
  <c r="H19" i="5" s="1"/>
  <c r="M19" i="5" s="1"/>
  <c r="F18" i="5"/>
  <c r="H18" i="5" s="1"/>
  <c r="M18" i="5" s="1"/>
  <c r="F17" i="5"/>
  <c r="J17" i="5" s="1"/>
  <c r="M17" i="5" s="1"/>
  <c r="F15" i="5"/>
  <c r="H15" i="5" s="1"/>
  <c r="M15" i="5" s="1"/>
  <c r="F14" i="5"/>
  <c r="H14" i="5" s="1"/>
  <c r="F13" i="5"/>
  <c r="H13" i="5" s="1"/>
  <c r="M13" i="5" s="1"/>
  <c r="F12" i="5"/>
  <c r="H12" i="5" s="1"/>
  <c r="M12" i="5" s="1"/>
  <c r="F11" i="5"/>
  <c r="H11" i="5" s="1"/>
  <c r="F10" i="5"/>
  <c r="J10" i="5" s="1"/>
  <c r="L44" i="4"/>
  <c r="H43" i="4"/>
  <c r="M43" i="4" s="1"/>
  <c r="M42" i="4"/>
  <c r="H42" i="4"/>
  <c r="F41" i="4"/>
  <c r="H41" i="4" s="1"/>
  <c r="M41" i="4" s="1"/>
  <c r="J40" i="4"/>
  <c r="M40" i="4" s="1"/>
  <c r="H40" i="4"/>
  <c r="F38" i="4"/>
  <c r="H37" i="4"/>
  <c r="M37" i="4" s="1"/>
  <c r="H36" i="4"/>
  <c r="M36" i="4" s="1"/>
  <c r="H35" i="4"/>
  <c r="M35" i="4" s="1"/>
  <c r="H34" i="4"/>
  <c r="M34" i="4" s="1"/>
  <c r="H33" i="4"/>
  <c r="M33" i="4" s="1"/>
  <c r="J32" i="4"/>
  <c r="M32" i="4" s="1"/>
  <c r="F32" i="4"/>
  <c r="F29" i="4"/>
  <c r="H29" i="4" s="1"/>
  <c r="M29" i="4" s="1"/>
  <c r="F28" i="4"/>
  <c r="H28" i="4" s="1"/>
  <c r="M28" i="4" s="1"/>
  <c r="F27" i="4"/>
  <c r="J27" i="4" s="1"/>
  <c r="M27" i="4" s="1"/>
  <c r="F22" i="4"/>
  <c r="F25" i="4" s="1"/>
  <c r="F21" i="4"/>
  <c r="J21" i="4" s="1"/>
  <c r="F20" i="4"/>
  <c r="H20" i="4" s="1"/>
  <c r="M20" i="4" s="1"/>
  <c r="F18" i="4"/>
  <c r="F19" i="4" s="1"/>
  <c r="J19" i="4" s="1"/>
  <c r="M19" i="4" s="1"/>
  <c r="F17" i="4"/>
  <c r="J17" i="4" s="1"/>
  <c r="F16" i="4"/>
  <c r="J16" i="4" s="1"/>
  <c r="F15" i="4"/>
  <c r="J15" i="4" s="1"/>
  <c r="F14" i="4"/>
  <c r="F13" i="4"/>
  <c r="H13" i="4" s="1"/>
  <c r="M13" i="4" s="1"/>
  <c r="F12" i="4"/>
  <c r="J12" i="4" s="1"/>
  <c r="M12" i="4" s="1"/>
  <c r="F10" i="4"/>
  <c r="H10" i="4" s="1"/>
  <c r="F9" i="4"/>
  <c r="J9" i="4" s="1"/>
  <c r="H21" i="3"/>
  <c r="M21" i="3" s="1"/>
  <c r="F21" i="3"/>
  <c r="F20" i="3"/>
  <c r="H20" i="3" s="1"/>
  <c r="M20" i="3" s="1"/>
  <c r="E19" i="3"/>
  <c r="F19" i="3" s="1"/>
  <c r="E18" i="3"/>
  <c r="F18" i="3" s="1"/>
  <c r="L17" i="3"/>
  <c r="L22" i="3" s="1"/>
  <c r="F17" i="3"/>
  <c r="H17" i="3" s="1"/>
  <c r="J16" i="3"/>
  <c r="M16" i="3" s="1"/>
  <c r="F14" i="3"/>
  <c r="H14" i="3" s="1"/>
  <c r="M14" i="3" s="1"/>
  <c r="F13" i="3"/>
  <c r="H13" i="3" s="1"/>
  <c r="M13" i="3" s="1"/>
  <c r="E12" i="3"/>
  <c r="F12" i="3" s="1"/>
  <c r="E11" i="3"/>
  <c r="F11" i="3" s="1"/>
  <c r="F10" i="3"/>
  <c r="L10" i="3" s="1"/>
  <c r="J9" i="3"/>
  <c r="M9" i="3" s="1"/>
  <c r="M480" i="1"/>
  <c r="H516" i="1"/>
  <c r="M516" i="1" s="1"/>
  <c r="H515" i="1"/>
  <c r="M515" i="1" s="1"/>
  <c r="J513" i="1"/>
  <c r="M513" i="1" s="1"/>
  <c r="F512" i="1"/>
  <c r="F517" i="1" s="1"/>
  <c r="H517" i="1" s="1"/>
  <c r="M517" i="1" s="1"/>
  <c r="F510" i="1"/>
  <c r="H510" i="1" s="1"/>
  <c r="M510" i="1" s="1"/>
  <c r="F509" i="1"/>
  <c r="H509" i="1" s="1"/>
  <c r="M509" i="1" s="1"/>
  <c r="H508" i="1"/>
  <c r="M508" i="1" s="1"/>
  <c r="H507" i="1"/>
  <c r="M507" i="1" s="1"/>
  <c r="F506" i="1"/>
  <c r="L506" i="1" s="1"/>
  <c r="H502" i="1"/>
  <c r="M502" i="1" s="1"/>
  <c r="H501" i="1"/>
  <c r="M501" i="1" s="1"/>
  <c r="J499" i="1"/>
  <c r="M499" i="1" s="1"/>
  <c r="F498" i="1"/>
  <c r="F504" i="1" s="1"/>
  <c r="H504" i="1" s="1"/>
  <c r="M504" i="1" s="1"/>
  <c r="F38" i="7" l="1"/>
  <c r="J38" i="7" s="1"/>
  <c r="M38" i="7" s="1"/>
  <c r="F40" i="7"/>
  <c r="H40" i="7" s="1"/>
  <c r="M40" i="7" s="1"/>
  <c r="F14" i="7"/>
  <c r="H14" i="7" s="1"/>
  <c r="M14" i="7" s="1"/>
  <c r="F18" i="7"/>
  <c r="J18" i="7" s="1"/>
  <c r="F42" i="7"/>
  <c r="F83" i="7"/>
  <c r="H83" i="7" s="1"/>
  <c r="M83" i="7" s="1"/>
  <c r="F19" i="7"/>
  <c r="F22" i="7" s="1"/>
  <c r="F60" i="7"/>
  <c r="J60" i="7" s="1"/>
  <c r="F39" i="7"/>
  <c r="H39" i="7" s="1"/>
  <c r="M39" i="7" s="1"/>
  <c r="F84" i="7"/>
  <c r="M9" i="8"/>
  <c r="M35" i="8"/>
  <c r="J13" i="8"/>
  <c r="M13" i="8" s="1"/>
  <c r="F27" i="8"/>
  <c r="J27" i="8" s="1"/>
  <c r="M27" i="8" s="1"/>
  <c r="H33" i="8"/>
  <c r="M33" i="8" s="1"/>
  <c r="F42" i="8"/>
  <c r="J42" i="8" s="1"/>
  <c r="M42" i="8" s="1"/>
  <c r="F48" i="8"/>
  <c r="J36" i="8"/>
  <c r="M36" i="8" s="1"/>
  <c r="F43" i="8"/>
  <c r="H43" i="8" s="1"/>
  <c r="M43" i="8" s="1"/>
  <c r="H11" i="8"/>
  <c r="M11" i="8" s="1"/>
  <c r="H32" i="8"/>
  <c r="M32" i="8" s="1"/>
  <c r="H35" i="8"/>
  <c r="H10" i="8"/>
  <c r="H36" i="8"/>
  <c r="F37" i="8"/>
  <c r="J37" i="8" s="1"/>
  <c r="M37" i="8" s="1"/>
  <c r="M10" i="7"/>
  <c r="F87" i="7"/>
  <c r="H87" i="7" s="1"/>
  <c r="M87" i="7" s="1"/>
  <c r="F86" i="7"/>
  <c r="H86" i="7" s="1"/>
  <c r="M86" i="7" s="1"/>
  <c r="F85" i="7"/>
  <c r="J85" i="7" s="1"/>
  <c r="M85" i="7" s="1"/>
  <c r="J17" i="7"/>
  <c r="H17" i="7"/>
  <c r="H60" i="7"/>
  <c r="M60" i="7" s="1"/>
  <c r="F61" i="7"/>
  <c r="F16" i="7"/>
  <c r="J16" i="7" s="1"/>
  <c r="M16" i="7" s="1"/>
  <c r="F56" i="7"/>
  <c r="J56" i="7" s="1"/>
  <c r="M56" i="7" s="1"/>
  <c r="F81" i="7"/>
  <c r="J81" i="7" s="1"/>
  <c r="M81" i="7" s="1"/>
  <c r="F62" i="7"/>
  <c r="H18" i="7"/>
  <c r="M18" i="7" s="1"/>
  <c r="J98" i="6"/>
  <c r="H98" i="6"/>
  <c r="H27" i="6"/>
  <c r="M27" i="6" s="1"/>
  <c r="M122" i="6"/>
  <c r="J28" i="6"/>
  <c r="H28" i="6"/>
  <c r="F14" i="6"/>
  <c r="H14" i="6" s="1"/>
  <c r="M14" i="6" s="1"/>
  <c r="F13" i="6"/>
  <c r="H13" i="6" s="1"/>
  <c r="M13" i="6" s="1"/>
  <c r="F12" i="6"/>
  <c r="H12" i="6" s="1"/>
  <c r="M12" i="6" s="1"/>
  <c r="F11" i="6"/>
  <c r="H11" i="6" s="1"/>
  <c r="J29" i="6"/>
  <c r="H29" i="6"/>
  <c r="F15" i="6"/>
  <c r="H15" i="6" s="1"/>
  <c r="M15" i="6" s="1"/>
  <c r="M78" i="6"/>
  <c r="F100" i="6"/>
  <c r="F52" i="6"/>
  <c r="F54" i="6"/>
  <c r="F53" i="6"/>
  <c r="J99" i="6"/>
  <c r="H99" i="6"/>
  <c r="F97" i="6"/>
  <c r="J97" i="6" s="1"/>
  <c r="M97" i="6" s="1"/>
  <c r="F10" i="6"/>
  <c r="J10" i="6" s="1"/>
  <c r="H79" i="6"/>
  <c r="M79" i="6" s="1"/>
  <c r="M80" i="6"/>
  <c r="F21" i="6"/>
  <c r="H21" i="6" s="1"/>
  <c r="M21" i="6" s="1"/>
  <c r="F20" i="6"/>
  <c r="H20" i="6" s="1"/>
  <c r="M20" i="6" s="1"/>
  <c r="F23" i="6"/>
  <c r="H23" i="6" s="1"/>
  <c r="M23" i="6" s="1"/>
  <c r="F22" i="6"/>
  <c r="H22" i="6" s="1"/>
  <c r="M22" i="6" s="1"/>
  <c r="F19" i="6"/>
  <c r="H19" i="6" s="1"/>
  <c r="M19" i="6" s="1"/>
  <c r="F18" i="6"/>
  <c r="J18" i="6" s="1"/>
  <c r="M18" i="6" s="1"/>
  <c r="F51" i="6"/>
  <c r="F46" i="6"/>
  <c r="J46" i="6" s="1"/>
  <c r="M46" i="6" s="1"/>
  <c r="F47" i="6"/>
  <c r="H78" i="6"/>
  <c r="F31" i="6"/>
  <c r="J31" i="6" s="1"/>
  <c r="M31" i="6" s="1"/>
  <c r="F48" i="6"/>
  <c r="H80" i="6"/>
  <c r="M10" i="5"/>
  <c r="J118" i="5"/>
  <c r="H118" i="5"/>
  <c r="M119" i="5" s="1"/>
  <c r="M11" i="5"/>
  <c r="M10" i="4"/>
  <c r="M9" i="4"/>
  <c r="H25" i="4"/>
  <c r="J25" i="4"/>
  <c r="M25" i="4" s="1"/>
  <c r="H15" i="4"/>
  <c r="H44" i="4" s="1"/>
  <c r="M45" i="4" s="1"/>
  <c r="H21" i="4"/>
  <c r="M21" i="4" s="1"/>
  <c r="H16" i="4"/>
  <c r="M16" i="4" s="1"/>
  <c r="F23" i="4"/>
  <c r="J23" i="4" s="1"/>
  <c r="M23" i="4" s="1"/>
  <c r="H17" i="4"/>
  <c r="M17" i="4" s="1"/>
  <c r="F24" i="4"/>
  <c r="H24" i="4" s="1"/>
  <c r="M24" i="4" s="1"/>
  <c r="J11" i="3"/>
  <c r="H11" i="3"/>
  <c r="J12" i="3"/>
  <c r="H12" i="3"/>
  <c r="J18" i="3"/>
  <c r="H18" i="3"/>
  <c r="J19" i="3"/>
  <c r="H19" i="3"/>
  <c r="H22" i="3" s="1"/>
  <c r="M23" i="3" s="1"/>
  <c r="H10" i="3"/>
  <c r="M10" i="3" s="1"/>
  <c r="M17" i="3"/>
  <c r="F500" i="1"/>
  <c r="L500" i="1" s="1"/>
  <c r="F503" i="1"/>
  <c r="H503" i="1" s="1"/>
  <c r="M503" i="1" s="1"/>
  <c r="F518" i="1"/>
  <c r="H518" i="1" s="1"/>
  <c r="M518" i="1" s="1"/>
  <c r="H506" i="1"/>
  <c r="M506" i="1" s="1"/>
  <c r="F514" i="1"/>
  <c r="F25" i="7" l="1"/>
  <c r="F43" i="7"/>
  <c r="J43" i="7" s="1"/>
  <c r="M43" i="7" s="1"/>
  <c r="F44" i="7"/>
  <c r="H44" i="7" s="1"/>
  <c r="M44" i="7" s="1"/>
  <c r="F45" i="7"/>
  <c r="H45" i="7" s="1"/>
  <c r="M45" i="7" s="1"/>
  <c r="F20" i="7"/>
  <c r="J20" i="7" s="1"/>
  <c r="M20" i="7" s="1"/>
  <c r="F21" i="7"/>
  <c r="H21" i="7" s="1"/>
  <c r="M21" i="7" s="1"/>
  <c r="F50" i="8"/>
  <c r="H50" i="8" s="1"/>
  <c r="M50" i="8" s="1"/>
  <c r="F49" i="8"/>
  <c r="J49" i="8" s="1"/>
  <c r="M49" i="8" s="1"/>
  <c r="J51" i="8"/>
  <c r="H51" i="8"/>
  <c r="M52" i="8" s="1"/>
  <c r="M10" i="8"/>
  <c r="M51" i="8" s="1"/>
  <c r="J61" i="7"/>
  <c r="H61" i="7"/>
  <c r="F24" i="7"/>
  <c r="H24" i="7" s="1"/>
  <c r="F23" i="7"/>
  <c r="J23" i="7" s="1"/>
  <c r="M23" i="7" s="1"/>
  <c r="F26" i="7"/>
  <c r="J26" i="7" s="1"/>
  <c r="M26" i="7" s="1"/>
  <c r="F27" i="7"/>
  <c r="H27" i="7" s="1"/>
  <c r="M27" i="7" s="1"/>
  <c r="M17" i="7"/>
  <c r="F65" i="7"/>
  <c r="F64" i="7"/>
  <c r="H64" i="7" s="1"/>
  <c r="M64" i="7" s="1"/>
  <c r="F63" i="7"/>
  <c r="J63" i="7" s="1"/>
  <c r="M63" i="7" s="1"/>
  <c r="M29" i="6"/>
  <c r="M10" i="6"/>
  <c r="H48" i="6"/>
  <c r="J48" i="6"/>
  <c r="M48" i="6" s="1"/>
  <c r="M99" i="6"/>
  <c r="M98" i="6"/>
  <c r="M11" i="6"/>
  <c r="M28" i="6"/>
  <c r="J53" i="6"/>
  <c r="H53" i="6"/>
  <c r="J47" i="6"/>
  <c r="H47" i="6"/>
  <c r="H54" i="6"/>
  <c r="J54" i="6"/>
  <c r="M54" i="6" s="1"/>
  <c r="J52" i="6"/>
  <c r="H52" i="6"/>
  <c r="J51" i="6"/>
  <c r="H51" i="6"/>
  <c r="F104" i="6"/>
  <c r="F103" i="6"/>
  <c r="F102" i="6"/>
  <c r="F101" i="6"/>
  <c r="J101" i="6" s="1"/>
  <c r="M101" i="6" s="1"/>
  <c r="F105" i="6"/>
  <c r="M118" i="5"/>
  <c r="M120" i="5" s="1"/>
  <c r="M15" i="4"/>
  <c r="M44" i="4" s="1"/>
  <c r="M46" i="4" s="1"/>
  <c r="J44" i="4"/>
  <c r="M19" i="3"/>
  <c r="M18" i="3"/>
  <c r="M22" i="3" s="1"/>
  <c r="M24" i="3" s="1"/>
  <c r="J22" i="3"/>
  <c r="M12" i="3"/>
  <c r="M11" i="3"/>
  <c r="H500" i="1"/>
  <c r="M500" i="1" s="1"/>
  <c r="L514" i="1"/>
  <c r="H514" i="1"/>
  <c r="M53" i="8" l="1"/>
  <c r="F68" i="7"/>
  <c r="F67" i="7"/>
  <c r="H67" i="7" s="1"/>
  <c r="M67" i="7" s="1"/>
  <c r="F66" i="7"/>
  <c r="J66" i="7" s="1"/>
  <c r="M24" i="7"/>
  <c r="M61" i="7"/>
  <c r="M47" i="6"/>
  <c r="M53" i="6"/>
  <c r="J105" i="6"/>
  <c r="H105" i="6"/>
  <c r="J102" i="6"/>
  <c r="H102" i="6"/>
  <c r="J103" i="6"/>
  <c r="H103" i="6"/>
  <c r="J104" i="6"/>
  <c r="H104" i="6"/>
  <c r="M51" i="6"/>
  <c r="J127" i="6"/>
  <c r="M52" i="6"/>
  <c r="M121" i="5"/>
  <c r="M122" i="5" s="1"/>
  <c r="M47" i="4"/>
  <c r="M48" i="4" s="1"/>
  <c r="M25" i="3"/>
  <c r="M26" i="3" s="1"/>
  <c r="M27" i="3" s="1"/>
  <c r="M28" i="3" s="1"/>
  <c r="M29" i="3" s="1"/>
  <c r="M30" i="3" s="1"/>
  <c r="M514" i="1"/>
  <c r="H127" i="6" l="1"/>
  <c r="M128" i="6" s="1"/>
  <c r="M54" i="8"/>
  <c r="M55" i="8" s="1"/>
  <c r="M66" i="7"/>
  <c r="F70" i="7"/>
  <c r="H70" i="7" s="1"/>
  <c r="F69" i="7"/>
  <c r="J69" i="7" s="1"/>
  <c r="M69" i="7" s="1"/>
  <c r="M104" i="6"/>
  <c r="M103" i="6"/>
  <c r="M102" i="6"/>
  <c r="M127" i="6" s="1"/>
  <c r="M105" i="6"/>
  <c r="M123" i="5"/>
  <c r="M124" i="5" s="1"/>
  <c r="M125" i="5" s="1"/>
  <c r="M126" i="5" s="1"/>
  <c r="M49" i="4"/>
  <c r="M50" i="4" s="1"/>
  <c r="M51" i="4" s="1"/>
  <c r="M52" i="4" s="1"/>
  <c r="M32" i="3"/>
  <c r="M31" i="3"/>
  <c r="M129" i="6" l="1"/>
  <c r="M130" i="6" s="1"/>
  <c r="M131" i="6" s="1"/>
  <c r="M56" i="8"/>
  <c r="M57" i="8" s="1"/>
  <c r="M58" i="8" s="1"/>
  <c r="M59" i="8" s="1"/>
  <c r="J92" i="7"/>
  <c r="M70" i="7"/>
  <c r="M92" i="7" s="1"/>
  <c r="H92" i="7"/>
  <c r="M93" i="7" s="1"/>
  <c r="M53" i="4"/>
  <c r="M54" i="4" s="1"/>
  <c r="M60" i="8" l="1"/>
  <c r="M61" i="8" s="1"/>
  <c r="M94" i="7"/>
  <c r="M132" i="6"/>
  <c r="M133" i="6" s="1"/>
  <c r="M134" i="6" s="1"/>
  <c r="M135" i="6" s="1"/>
  <c r="M95" i="7" l="1"/>
  <c r="M96" i="7" s="1"/>
  <c r="M136" i="6"/>
  <c r="M137" i="6" s="1"/>
  <c r="F39" i="1"/>
  <c r="F41" i="1" s="1"/>
  <c r="H41" i="1" s="1"/>
  <c r="M41" i="1" s="1"/>
  <c r="F14" i="1"/>
  <c r="F16" i="1" s="1"/>
  <c r="H16" i="1" s="1"/>
  <c r="M16" i="1" s="1"/>
  <c r="M97" i="7" l="1"/>
  <c r="M98" i="7" s="1"/>
  <c r="M99" i="7" s="1"/>
  <c r="M100" i="7" s="1"/>
  <c r="F42" i="1"/>
  <c r="H42" i="1" s="1"/>
  <c r="M42" i="1" s="1"/>
  <c r="F44" i="1"/>
  <c r="H44" i="1" s="1"/>
  <c r="M44" i="1" s="1"/>
  <c r="F40" i="1"/>
  <c r="F43" i="1"/>
  <c r="H43" i="1" s="1"/>
  <c r="M43" i="1" s="1"/>
  <c r="F17" i="1"/>
  <c r="H17" i="1" s="1"/>
  <c r="M17" i="1" s="1"/>
  <c r="F18" i="1"/>
  <c r="H18" i="1" s="1"/>
  <c r="M18" i="1" s="1"/>
  <c r="F19" i="1"/>
  <c r="H19" i="1" s="1"/>
  <c r="M19" i="1" s="1"/>
  <c r="F15" i="1"/>
  <c r="M101" i="7" l="1"/>
  <c r="M102" i="7" s="1"/>
  <c r="J40" i="1"/>
  <c r="M40" i="1" s="1"/>
  <c r="J15" i="1"/>
  <c r="M15" i="1" s="1"/>
  <c r="E359" i="1" l="1"/>
  <c r="E288" i="1"/>
  <c r="E474" i="1" l="1"/>
  <c r="E323" i="1"/>
  <c r="E254" i="1"/>
  <c r="E181" i="1"/>
  <c r="E28" i="1" l="1"/>
  <c r="F122" i="1" l="1"/>
  <c r="F73" i="1"/>
  <c r="F379" i="1"/>
  <c r="E248" i="1" l="1"/>
  <c r="E448" i="1"/>
  <c r="E390" i="1"/>
  <c r="E317" i="1"/>
  <c r="E175" i="1"/>
  <c r="E473" i="1"/>
  <c r="E456" i="1"/>
  <c r="E455" i="1"/>
  <c r="E454" i="1"/>
  <c r="E399" i="1"/>
  <c r="E398" i="1"/>
  <c r="E397" i="1"/>
  <c r="E324" i="1"/>
  <c r="E255" i="1"/>
  <c r="E182" i="1"/>
  <c r="E426" i="1" l="1"/>
  <c r="E217" i="1"/>
  <c r="E145" i="1"/>
  <c r="E493" i="1" l="1"/>
  <c r="H493" i="1" s="1"/>
  <c r="M493" i="1" s="1"/>
  <c r="E492" i="1"/>
  <c r="E491" i="1"/>
  <c r="F488" i="1"/>
  <c r="E484" i="1" l="1"/>
  <c r="H484" i="1" s="1"/>
  <c r="M484" i="1" s="1"/>
  <c r="E483" i="1"/>
  <c r="E482" i="1"/>
  <c r="F479" i="1"/>
  <c r="H491" i="1" l="1"/>
  <c r="M491" i="1" s="1"/>
  <c r="F495" i="1"/>
  <c r="H495" i="1" s="1"/>
  <c r="M495" i="1" s="1"/>
  <c r="F494" i="1"/>
  <c r="H494" i="1" s="1"/>
  <c r="M494" i="1" s="1"/>
  <c r="H492" i="1"/>
  <c r="M492" i="1" s="1"/>
  <c r="F490" i="1"/>
  <c r="H490" i="1" s="1"/>
  <c r="M489" i="1"/>
  <c r="E345" i="1"/>
  <c r="E344" i="1"/>
  <c r="E275" i="1"/>
  <c r="E274" i="1"/>
  <c r="E203" i="1"/>
  <c r="E202" i="1"/>
  <c r="E132" i="1"/>
  <c r="E131" i="1"/>
  <c r="E83" i="1"/>
  <c r="E82" i="1"/>
  <c r="E406" i="1"/>
  <c r="E331" i="1"/>
  <c r="E330" i="1"/>
  <c r="E263" i="1"/>
  <c r="E262" i="1"/>
  <c r="E261" i="1"/>
  <c r="E190" i="1"/>
  <c r="E188" i="1"/>
  <c r="E119" i="1"/>
  <c r="E118" i="1"/>
  <c r="E117" i="1"/>
  <c r="E70" i="1"/>
  <c r="E68" i="1"/>
  <c r="E69" i="1"/>
  <c r="E189" i="1"/>
  <c r="F66" i="1"/>
  <c r="E419" i="1"/>
  <c r="E418" i="1"/>
  <c r="E417" i="1"/>
  <c r="E352" i="1"/>
  <c r="E351" i="1"/>
  <c r="E350" i="1"/>
  <c r="E282" i="1"/>
  <c r="E281" i="1"/>
  <c r="E211" i="1"/>
  <c r="E209" i="1"/>
  <c r="H209" i="1" s="1"/>
  <c r="M209" i="1" s="1"/>
  <c r="E210" i="1"/>
  <c r="E139" i="1"/>
  <c r="E138" i="1"/>
  <c r="E137" i="1"/>
  <c r="F135" i="1"/>
  <c r="E465" i="1"/>
  <c r="E427" i="1"/>
  <c r="H427" i="1" s="1"/>
  <c r="M427" i="1" s="1"/>
  <c r="H426" i="1"/>
  <c r="M426" i="1" s="1"/>
  <c r="E425" i="1"/>
  <c r="H425" i="1" s="1"/>
  <c r="M425" i="1" s="1"/>
  <c r="E358" i="1"/>
  <c r="H358" i="1" s="1"/>
  <c r="M358" i="1" s="1"/>
  <c r="E361" i="1"/>
  <c r="H361" i="1" s="1"/>
  <c r="M361" i="1" s="1"/>
  <c r="E360" i="1"/>
  <c r="H360" i="1" s="1"/>
  <c r="M360" i="1" s="1"/>
  <c r="E289" i="1"/>
  <c r="H289" i="1" s="1"/>
  <c r="M289" i="1" s="1"/>
  <c r="E218" i="1"/>
  <c r="H218" i="1" s="1"/>
  <c r="M218" i="1" s="1"/>
  <c r="E146" i="1"/>
  <c r="H146" i="1" s="1"/>
  <c r="M146" i="1" s="1"/>
  <c r="L490" i="1" l="1"/>
  <c r="M490" i="1" s="1"/>
  <c r="F60" i="1" l="1"/>
  <c r="E63" i="1"/>
  <c r="E62" i="1"/>
  <c r="F71" i="1"/>
  <c r="H71" i="1" s="1"/>
  <c r="M71" i="1" s="1"/>
  <c r="E30" i="1"/>
  <c r="E29" i="1"/>
  <c r="H68" i="1" l="1"/>
  <c r="H69" i="1"/>
  <c r="H70" i="1"/>
  <c r="F67" i="1"/>
  <c r="F72" i="1"/>
  <c r="H72" i="1" s="1"/>
  <c r="M72" i="1" s="1"/>
  <c r="M68" i="1" l="1"/>
  <c r="M69" i="1"/>
  <c r="L67" i="1"/>
  <c r="H67" i="1"/>
  <c r="M70" i="1"/>
  <c r="M67" i="1" l="1"/>
  <c r="H482" i="1" l="1"/>
  <c r="M482" i="1" s="1"/>
  <c r="F486" i="1"/>
  <c r="H486" i="1" s="1"/>
  <c r="M486" i="1" s="1"/>
  <c r="F485" i="1"/>
  <c r="H485" i="1" s="1"/>
  <c r="M485" i="1" s="1"/>
  <c r="H483" i="1"/>
  <c r="M483" i="1" s="1"/>
  <c r="F481" i="1"/>
  <c r="H481" i="1" s="1"/>
  <c r="E98" i="1"/>
  <c r="E97" i="1"/>
  <c r="E96" i="1"/>
  <c r="F94" i="1"/>
  <c r="F99" i="1" s="1"/>
  <c r="H99" i="1" s="1"/>
  <c r="M99" i="1" s="1"/>
  <c r="H454" i="1"/>
  <c r="M454" i="1" s="1"/>
  <c r="H456" i="1"/>
  <c r="M456" i="1" s="1"/>
  <c r="H398" i="1"/>
  <c r="M398" i="1" s="1"/>
  <c r="H399" i="1"/>
  <c r="M399" i="1" s="1"/>
  <c r="E396" i="1"/>
  <c r="H396" i="1" s="1"/>
  <c r="M396" i="1" s="1"/>
  <c r="H324" i="1"/>
  <c r="M324" i="1" s="1"/>
  <c r="H255" i="1"/>
  <c r="M255" i="1" s="1"/>
  <c r="H182" i="1"/>
  <c r="M182" i="1" s="1"/>
  <c r="E447" i="1"/>
  <c r="E446" i="1"/>
  <c r="E389" i="1"/>
  <c r="E316" i="1"/>
  <c r="E247" i="1"/>
  <c r="E246" i="1"/>
  <c r="H246" i="1" s="1"/>
  <c r="M246" i="1" s="1"/>
  <c r="E174" i="1"/>
  <c r="F171" i="1"/>
  <c r="E435" i="1"/>
  <c r="E369" i="1"/>
  <c r="E298" i="1"/>
  <c r="E297" i="1"/>
  <c r="E227" i="1"/>
  <c r="E226" i="1"/>
  <c r="E225" i="1"/>
  <c r="F223" i="1"/>
  <c r="F224" i="1" s="1"/>
  <c r="E155" i="1"/>
  <c r="E154" i="1"/>
  <c r="E153" i="1"/>
  <c r="F151" i="1"/>
  <c r="E383" i="1"/>
  <c r="E382" i="1"/>
  <c r="E309" i="1"/>
  <c r="E239" i="1"/>
  <c r="E167" i="1"/>
  <c r="E110" i="1"/>
  <c r="E375" i="1"/>
  <c r="E303" i="1"/>
  <c r="E233" i="1"/>
  <c r="E160" i="1"/>
  <c r="L481" i="1" l="1"/>
  <c r="M481" i="1" s="1"/>
  <c r="H96" i="1"/>
  <c r="H97" i="1"/>
  <c r="H98" i="1"/>
  <c r="F100" i="1"/>
  <c r="H100" i="1" s="1"/>
  <c r="M100" i="1" s="1"/>
  <c r="F95" i="1"/>
  <c r="M96" i="1" l="1"/>
  <c r="L95" i="1"/>
  <c r="H95" i="1"/>
  <c r="M98" i="1"/>
  <c r="M97" i="1"/>
  <c r="M95" i="1" l="1"/>
  <c r="F158" i="1" l="1"/>
  <c r="E91" i="1"/>
  <c r="E90" i="1"/>
  <c r="F88" i="1"/>
  <c r="E55" i="1" l="1"/>
  <c r="E54" i="1"/>
  <c r="E53" i="1"/>
  <c r="E52" i="1"/>
  <c r="H465" i="1" l="1"/>
  <c r="M465" i="1" s="1"/>
  <c r="E464" i="1"/>
  <c r="H464" i="1" s="1"/>
  <c r="M464" i="1" s="1"/>
  <c r="E462" i="1"/>
  <c r="J462" i="1" s="1"/>
  <c r="M462" i="1" s="1"/>
  <c r="F467" i="1"/>
  <c r="H467" i="1" s="1"/>
  <c r="M467" i="1" s="1"/>
  <c r="F466" i="1"/>
  <c r="H466" i="1" s="1"/>
  <c r="M466" i="1" s="1"/>
  <c r="F463" i="1"/>
  <c r="L463" i="1" s="1"/>
  <c r="E423" i="1"/>
  <c r="J423" i="1" s="1"/>
  <c r="M423" i="1" s="1"/>
  <c r="E356" i="1"/>
  <c r="J356" i="1" s="1"/>
  <c r="M356" i="1" s="1"/>
  <c r="E25" i="1"/>
  <c r="H474" i="1"/>
  <c r="E471" i="1"/>
  <c r="J471" i="1" s="1"/>
  <c r="M471" i="1" s="1"/>
  <c r="F476" i="1"/>
  <c r="H476" i="1" s="1"/>
  <c r="M476" i="1" s="1"/>
  <c r="F475" i="1"/>
  <c r="H475" i="1" s="1"/>
  <c r="M475" i="1" s="1"/>
  <c r="F472" i="1"/>
  <c r="H472" i="1" s="1"/>
  <c r="E394" i="1"/>
  <c r="J394" i="1" s="1"/>
  <c r="M394" i="1" s="1"/>
  <c r="E50" i="1"/>
  <c r="H350" i="1"/>
  <c r="M350" i="1" s="1"/>
  <c r="H455" i="1"/>
  <c r="M455" i="1" s="1"/>
  <c r="H448" i="1"/>
  <c r="M448" i="1" s="1"/>
  <c r="H447" i="1"/>
  <c r="M447" i="1" s="1"/>
  <c r="H446" i="1"/>
  <c r="M446" i="1" s="1"/>
  <c r="F444" i="1"/>
  <c r="F450" i="1" s="1"/>
  <c r="H450" i="1" s="1"/>
  <c r="M450" i="1" s="1"/>
  <c r="E441" i="1"/>
  <c r="H441" i="1" s="1"/>
  <c r="M441" i="1" s="1"/>
  <c r="E440" i="1"/>
  <c r="H440" i="1" s="1"/>
  <c r="M440" i="1" s="1"/>
  <c r="E434" i="1"/>
  <c r="F458" i="1"/>
  <c r="H458" i="1" s="1"/>
  <c r="M458" i="1" s="1"/>
  <c r="F457" i="1"/>
  <c r="H457" i="1" s="1"/>
  <c r="M457" i="1" s="1"/>
  <c r="F453" i="1"/>
  <c r="L453" i="1" s="1"/>
  <c r="E452" i="1"/>
  <c r="J452" i="1" s="1"/>
  <c r="M452" i="1" s="1"/>
  <c r="F443" i="1"/>
  <c r="H443" i="1" s="1"/>
  <c r="M443" i="1" s="1"/>
  <c r="F442" i="1"/>
  <c r="H442" i="1" s="1"/>
  <c r="M442" i="1" s="1"/>
  <c r="F439" i="1"/>
  <c r="L439" i="1" s="1"/>
  <c r="L438" i="1"/>
  <c r="M438" i="1" s="1"/>
  <c r="F437" i="1"/>
  <c r="H437" i="1" s="1"/>
  <c r="M437" i="1" s="1"/>
  <c r="F436" i="1"/>
  <c r="H436" i="1" s="1"/>
  <c r="M436" i="1" s="1"/>
  <c r="F433" i="1"/>
  <c r="L433" i="1" s="1"/>
  <c r="H419" i="1"/>
  <c r="M419" i="1" s="1"/>
  <c r="H418" i="1"/>
  <c r="M418" i="1" s="1"/>
  <c r="H417" i="1"/>
  <c r="M417" i="1" s="1"/>
  <c r="F415" i="1"/>
  <c r="F421" i="1" s="1"/>
  <c r="H421" i="1" s="1"/>
  <c r="M421" i="1" s="1"/>
  <c r="E412" i="1"/>
  <c r="H412" i="1" s="1"/>
  <c r="M412" i="1" s="1"/>
  <c r="E411" i="1"/>
  <c r="H411" i="1" s="1"/>
  <c r="M411" i="1" s="1"/>
  <c r="E405" i="1"/>
  <c r="F429" i="1"/>
  <c r="H429" i="1" s="1"/>
  <c r="M429" i="1" s="1"/>
  <c r="F428" i="1"/>
  <c r="H428" i="1" s="1"/>
  <c r="M428" i="1" s="1"/>
  <c r="F424" i="1"/>
  <c r="L424" i="1" s="1"/>
  <c r="F414" i="1"/>
  <c r="H414" i="1" s="1"/>
  <c r="M414" i="1" s="1"/>
  <c r="F408" i="1"/>
  <c r="H408" i="1" s="1"/>
  <c r="M408" i="1" s="1"/>
  <c r="F407" i="1"/>
  <c r="H407" i="1" s="1"/>
  <c r="M407" i="1" s="1"/>
  <c r="F404" i="1"/>
  <c r="L404" i="1" s="1"/>
  <c r="H397" i="1"/>
  <c r="M397" i="1" s="1"/>
  <c r="H390" i="1"/>
  <c r="M390" i="1" s="1"/>
  <c r="H389" i="1"/>
  <c r="M389" i="1" s="1"/>
  <c r="E388" i="1"/>
  <c r="H388" i="1" s="1"/>
  <c r="M388" i="1" s="1"/>
  <c r="F386" i="1"/>
  <c r="H383" i="1"/>
  <c r="M383" i="1" s="1"/>
  <c r="H382" i="1"/>
  <c r="M382" i="1" s="1"/>
  <c r="E376" i="1"/>
  <c r="H376" i="1" s="1"/>
  <c r="M376" i="1" s="1"/>
  <c r="H375" i="1"/>
  <c r="M375" i="1" s="1"/>
  <c r="E374" i="1"/>
  <c r="H374" i="1" s="1"/>
  <c r="M374" i="1" s="1"/>
  <c r="F372" i="1"/>
  <c r="E368" i="1"/>
  <c r="F401" i="1"/>
  <c r="H401" i="1" s="1"/>
  <c r="M401" i="1" s="1"/>
  <c r="F400" i="1"/>
  <c r="H400" i="1" s="1"/>
  <c r="M400" i="1" s="1"/>
  <c r="F395" i="1"/>
  <c r="F385" i="1"/>
  <c r="H385" i="1" s="1"/>
  <c r="M385" i="1" s="1"/>
  <c r="F384" i="1"/>
  <c r="H384" i="1" s="1"/>
  <c r="M384" i="1" s="1"/>
  <c r="F381" i="1"/>
  <c r="L381" i="1" s="1"/>
  <c r="J380" i="1"/>
  <c r="M380" i="1" s="1"/>
  <c r="H359" i="1"/>
  <c r="M359" i="1" s="1"/>
  <c r="H352" i="1"/>
  <c r="M352" i="1" s="1"/>
  <c r="H351" i="1"/>
  <c r="M351" i="1" s="1"/>
  <c r="F348" i="1"/>
  <c r="H345" i="1"/>
  <c r="M345" i="1" s="1"/>
  <c r="H344" i="1"/>
  <c r="M344" i="1" s="1"/>
  <c r="E338" i="1"/>
  <c r="H338" i="1" s="1"/>
  <c r="M338" i="1" s="1"/>
  <c r="E336" i="1"/>
  <c r="H336" i="1" s="1"/>
  <c r="M336" i="1" s="1"/>
  <c r="E337" i="1"/>
  <c r="H337" i="1" s="1"/>
  <c r="M337" i="1" s="1"/>
  <c r="F334" i="1"/>
  <c r="H323" i="1"/>
  <c r="M323" i="1" s="1"/>
  <c r="H317" i="1"/>
  <c r="M317" i="1" s="1"/>
  <c r="H316" i="1"/>
  <c r="M316" i="1" s="1"/>
  <c r="E315" i="1"/>
  <c r="H315" i="1" s="1"/>
  <c r="M315" i="1" s="1"/>
  <c r="F313" i="1"/>
  <c r="H303" i="1"/>
  <c r="M303" i="1" s="1"/>
  <c r="F301" i="1"/>
  <c r="L301" i="1" s="1"/>
  <c r="M301" i="1" s="1"/>
  <c r="E296" i="1"/>
  <c r="F363" i="1"/>
  <c r="H363" i="1" s="1"/>
  <c r="M363" i="1" s="1"/>
  <c r="F362" i="1"/>
  <c r="H362" i="1" s="1"/>
  <c r="M362" i="1" s="1"/>
  <c r="F357" i="1"/>
  <c r="F347" i="1"/>
  <c r="H347" i="1" s="1"/>
  <c r="M347" i="1" s="1"/>
  <c r="F346" i="1"/>
  <c r="H346" i="1" s="1"/>
  <c r="M346" i="1" s="1"/>
  <c r="F343" i="1"/>
  <c r="H343" i="1" s="1"/>
  <c r="J342" i="1"/>
  <c r="M342" i="1" s="1"/>
  <c r="F326" i="1"/>
  <c r="H326" i="1" s="1"/>
  <c r="M326" i="1" s="1"/>
  <c r="F325" i="1"/>
  <c r="H325" i="1" s="1"/>
  <c r="M325" i="1" s="1"/>
  <c r="F322" i="1"/>
  <c r="H322" i="1" s="1"/>
  <c r="E321" i="1"/>
  <c r="J321" i="1" s="1"/>
  <c r="M321" i="1" s="1"/>
  <c r="F312" i="1"/>
  <c r="H312" i="1" s="1"/>
  <c r="M312" i="1" s="1"/>
  <c r="F311" i="1"/>
  <c r="H311" i="1" s="1"/>
  <c r="M311" i="1" s="1"/>
  <c r="E310" i="1"/>
  <c r="H310" i="1" s="1"/>
  <c r="M310" i="1" s="1"/>
  <c r="H309" i="1"/>
  <c r="M309" i="1" s="1"/>
  <c r="F308" i="1"/>
  <c r="H308" i="1" s="1"/>
  <c r="J307" i="1"/>
  <c r="M307" i="1" s="1"/>
  <c r="F294" i="1"/>
  <c r="F295" i="1" s="1"/>
  <c r="L295" i="1" s="1"/>
  <c r="H288" i="1"/>
  <c r="M288" i="1" s="1"/>
  <c r="H282" i="1"/>
  <c r="M282" i="1" s="1"/>
  <c r="H281" i="1"/>
  <c r="M281" i="1" s="1"/>
  <c r="E280" i="1"/>
  <c r="H280" i="1" s="1"/>
  <c r="M280" i="1" s="1"/>
  <c r="F278" i="1"/>
  <c r="F284" i="1" s="1"/>
  <c r="H284" i="1" s="1"/>
  <c r="M284" i="1" s="1"/>
  <c r="E268" i="1"/>
  <c r="H268" i="1" s="1"/>
  <c r="M268" i="1" s="1"/>
  <c r="F266" i="1"/>
  <c r="F269" i="1" s="1"/>
  <c r="H269" i="1" s="1"/>
  <c r="M269" i="1" s="1"/>
  <c r="H254" i="1"/>
  <c r="M254" i="1" s="1"/>
  <c r="H248" i="1"/>
  <c r="M248" i="1" s="1"/>
  <c r="H247" i="1"/>
  <c r="M247" i="1" s="1"/>
  <c r="E245" i="1"/>
  <c r="H245" i="1" s="1"/>
  <c r="M245" i="1" s="1"/>
  <c r="F243" i="1"/>
  <c r="F249" i="1" s="1"/>
  <c r="H249" i="1" s="1"/>
  <c r="M249" i="1" s="1"/>
  <c r="H233" i="1"/>
  <c r="M233" i="1" s="1"/>
  <c r="E232" i="1"/>
  <c r="H232" i="1" s="1"/>
  <c r="M232" i="1" s="1"/>
  <c r="F230" i="1"/>
  <c r="F234" i="1" s="1"/>
  <c r="H234" i="1" s="1"/>
  <c r="M234" i="1" s="1"/>
  <c r="F291" i="1"/>
  <c r="H291" i="1" s="1"/>
  <c r="M291" i="1" s="1"/>
  <c r="F290" i="1"/>
  <c r="H290" i="1" s="1"/>
  <c r="M290" i="1" s="1"/>
  <c r="F287" i="1"/>
  <c r="L287" i="1" s="1"/>
  <c r="E286" i="1"/>
  <c r="J286" i="1" s="1"/>
  <c r="F277" i="1"/>
  <c r="H277" i="1" s="1"/>
  <c r="M277" i="1" s="1"/>
  <c r="F276" i="1"/>
  <c r="H276" i="1" s="1"/>
  <c r="M276" i="1" s="1"/>
  <c r="H275" i="1"/>
  <c r="M275" i="1" s="1"/>
  <c r="H274" i="1"/>
  <c r="M274" i="1" s="1"/>
  <c r="F273" i="1"/>
  <c r="L273" i="1" s="1"/>
  <c r="J272" i="1"/>
  <c r="M272" i="1" s="1"/>
  <c r="F259" i="1"/>
  <c r="F257" i="1"/>
  <c r="H257" i="1" s="1"/>
  <c r="M257" i="1" s="1"/>
  <c r="F256" i="1"/>
  <c r="H256" i="1" s="1"/>
  <c r="M256" i="1" s="1"/>
  <c r="F253" i="1"/>
  <c r="L253" i="1" s="1"/>
  <c r="E252" i="1"/>
  <c r="J252" i="1" s="1"/>
  <c r="M252" i="1" s="1"/>
  <c r="F242" i="1"/>
  <c r="H242" i="1" s="1"/>
  <c r="M242" i="1" s="1"/>
  <c r="F241" i="1"/>
  <c r="H241" i="1" s="1"/>
  <c r="M241" i="1" s="1"/>
  <c r="E240" i="1"/>
  <c r="H240" i="1" s="1"/>
  <c r="M240" i="1" s="1"/>
  <c r="H239" i="1"/>
  <c r="M239" i="1" s="1"/>
  <c r="F238" i="1"/>
  <c r="L238" i="1" s="1"/>
  <c r="J237" i="1"/>
  <c r="M237" i="1" s="1"/>
  <c r="H217" i="1"/>
  <c r="M217" i="1" s="1"/>
  <c r="H210" i="1"/>
  <c r="M210" i="1" s="1"/>
  <c r="E208" i="1"/>
  <c r="H208" i="1" s="1"/>
  <c r="M208" i="1" s="1"/>
  <c r="F206" i="1"/>
  <c r="F213" i="1" s="1"/>
  <c r="H213" i="1" s="1"/>
  <c r="M213" i="1" s="1"/>
  <c r="E196" i="1"/>
  <c r="H196" i="1" s="1"/>
  <c r="M196" i="1" s="1"/>
  <c r="E195" i="1"/>
  <c r="H195" i="1" s="1"/>
  <c r="M195" i="1" s="1"/>
  <c r="F193" i="1"/>
  <c r="F194" i="1" s="1"/>
  <c r="F220" i="1"/>
  <c r="H220" i="1" s="1"/>
  <c r="M220" i="1" s="1"/>
  <c r="F219" i="1"/>
  <c r="H219" i="1" s="1"/>
  <c r="M219" i="1" s="1"/>
  <c r="F216" i="1"/>
  <c r="L216" i="1" s="1"/>
  <c r="E215" i="1"/>
  <c r="J215" i="1" s="1"/>
  <c r="M215" i="1" s="1"/>
  <c r="L214" i="1"/>
  <c r="M214" i="1" s="1"/>
  <c r="F205" i="1"/>
  <c r="H205" i="1" s="1"/>
  <c r="M205" i="1" s="1"/>
  <c r="F204" i="1"/>
  <c r="H204" i="1" s="1"/>
  <c r="M204" i="1" s="1"/>
  <c r="H203" i="1"/>
  <c r="M203" i="1" s="1"/>
  <c r="H202" i="1"/>
  <c r="M202" i="1" s="1"/>
  <c r="F201" i="1"/>
  <c r="L201" i="1" s="1"/>
  <c r="J200" i="1"/>
  <c r="M200" i="1" s="1"/>
  <c r="F186" i="1"/>
  <c r="F192" i="1" s="1"/>
  <c r="H192" i="1" s="1"/>
  <c r="M192" i="1" s="1"/>
  <c r="F172" i="1"/>
  <c r="H175" i="1"/>
  <c r="M175" i="1" s="1"/>
  <c r="H174" i="1"/>
  <c r="M174" i="1" s="1"/>
  <c r="E173" i="1"/>
  <c r="H173" i="1" s="1"/>
  <c r="M173" i="1" s="1"/>
  <c r="H167" i="1"/>
  <c r="M167" i="1" s="1"/>
  <c r="E168" i="1"/>
  <c r="H168" i="1" s="1"/>
  <c r="M168" i="1" s="1"/>
  <c r="F157" i="1"/>
  <c r="H157" i="1" s="1"/>
  <c r="M157" i="1" s="1"/>
  <c r="E161" i="1"/>
  <c r="H161" i="1" s="1"/>
  <c r="M161" i="1" s="1"/>
  <c r="H160" i="1"/>
  <c r="M160" i="1" s="1"/>
  <c r="H181" i="1"/>
  <c r="M181" i="1" s="1"/>
  <c r="F184" i="1"/>
  <c r="H184" i="1" s="1"/>
  <c r="M184" i="1" s="1"/>
  <c r="F183" i="1"/>
  <c r="H183" i="1" s="1"/>
  <c r="M183" i="1" s="1"/>
  <c r="F180" i="1"/>
  <c r="H180" i="1" s="1"/>
  <c r="E179" i="1"/>
  <c r="J179" i="1" s="1"/>
  <c r="M179" i="1" s="1"/>
  <c r="F170" i="1"/>
  <c r="H170" i="1" s="1"/>
  <c r="M170" i="1" s="1"/>
  <c r="F169" i="1"/>
  <c r="H169" i="1" s="1"/>
  <c r="M169" i="1" s="1"/>
  <c r="F166" i="1"/>
  <c r="L166" i="1" s="1"/>
  <c r="J165" i="1"/>
  <c r="M165" i="1" s="1"/>
  <c r="F159" i="1"/>
  <c r="E111" i="1"/>
  <c r="H111" i="1" s="1"/>
  <c r="M111" i="1" s="1"/>
  <c r="H110" i="1"/>
  <c r="M110" i="1" s="1"/>
  <c r="F113" i="1"/>
  <c r="H113" i="1" s="1"/>
  <c r="M113" i="1" s="1"/>
  <c r="F112" i="1"/>
  <c r="H112" i="1" s="1"/>
  <c r="M112" i="1" s="1"/>
  <c r="F109" i="1"/>
  <c r="H109" i="1" s="1"/>
  <c r="J108" i="1"/>
  <c r="M108" i="1" s="1"/>
  <c r="F93" i="1"/>
  <c r="H93" i="1" s="1"/>
  <c r="M93" i="1" s="1"/>
  <c r="H145" i="1"/>
  <c r="M145" i="1" s="1"/>
  <c r="E143" i="1"/>
  <c r="J143" i="1" s="1"/>
  <c r="M143" i="1" s="1"/>
  <c r="F148" i="1"/>
  <c r="H148" i="1" s="1"/>
  <c r="M148" i="1" s="1"/>
  <c r="F147" i="1"/>
  <c r="H147" i="1" s="1"/>
  <c r="M147" i="1" s="1"/>
  <c r="F144" i="1"/>
  <c r="L144" i="1" s="1"/>
  <c r="F141" i="1"/>
  <c r="H141" i="1" s="1"/>
  <c r="M141" i="1" s="1"/>
  <c r="F115" i="1"/>
  <c r="F121" i="1" s="1"/>
  <c r="H121" i="1" s="1"/>
  <c r="M121" i="1" s="1"/>
  <c r="E125" i="1"/>
  <c r="H125" i="1" s="1"/>
  <c r="M125" i="1" s="1"/>
  <c r="E124" i="1"/>
  <c r="H124" i="1" s="1"/>
  <c r="M124" i="1" s="1"/>
  <c r="F123" i="1"/>
  <c r="H132" i="1"/>
  <c r="M132" i="1" s="1"/>
  <c r="H131" i="1"/>
  <c r="M131" i="1" s="1"/>
  <c r="F134" i="1"/>
  <c r="H134" i="1" s="1"/>
  <c r="M134" i="1" s="1"/>
  <c r="F133" i="1"/>
  <c r="H133" i="1" s="1"/>
  <c r="M133" i="1" s="1"/>
  <c r="F130" i="1"/>
  <c r="H130" i="1" s="1"/>
  <c r="J129" i="1"/>
  <c r="M129" i="1" s="1"/>
  <c r="H83" i="1"/>
  <c r="M83" i="1" s="1"/>
  <c r="H82" i="1"/>
  <c r="M82" i="1" s="1"/>
  <c r="F85" i="1"/>
  <c r="H85" i="1" s="1"/>
  <c r="M85" i="1" s="1"/>
  <c r="F84" i="1"/>
  <c r="H84" i="1" s="1"/>
  <c r="M84" i="1" s="1"/>
  <c r="F81" i="1"/>
  <c r="L81" i="1" s="1"/>
  <c r="J80" i="1"/>
  <c r="M80" i="1" s="1"/>
  <c r="F65" i="1"/>
  <c r="H65" i="1" s="1"/>
  <c r="M65" i="1" s="1"/>
  <c r="E76" i="1"/>
  <c r="H76" i="1" s="1"/>
  <c r="M76" i="1" s="1"/>
  <c r="E75" i="1"/>
  <c r="H75" i="1" s="1"/>
  <c r="M75" i="1" s="1"/>
  <c r="F74" i="1"/>
  <c r="E104" i="1"/>
  <c r="H104" i="1" s="1"/>
  <c r="M104" i="1" s="1"/>
  <c r="E103" i="1"/>
  <c r="H103" i="1" s="1"/>
  <c r="M103" i="1" s="1"/>
  <c r="F101" i="1"/>
  <c r="F102" i="1" s="1"/>
  <c r="E27" i="1"/>
  <c r="F38" i="1"/>
  <c r="F13" i="1"/>
  <c r="H139" i="1" l="1"/>
  <c r="M139" i="1" s="1"/>
  <c r="H211" i="1"/>
  <c r="M211" i="1" s="1"/>
  <c r="J25" i="1"/>
  <c r="M25" i="1" s="1"/>
  <c r="F9" i="1"/>
  <c r="F10" i="1" s="1"/>
  <c r="J50" i="1"/>
  <c r="M50" i="1" s="1"/>
  <c r="F34" i="1"/>
  <c r="F35" i="1" s="1"/>
  <c r="H463" i="1"/>
  <c r="M463" i="1" s="1"/>
  <c r="M474" i="1"/>
  <c r="H473" i="1"/>
  <c r="L472" i="1"/>
  <c r="M472" i="1" s="1"/>
  <c r="H434" i="1"/>
  <c r="H435" i="1"/>
  <c r="H453" i="1"/>
  <c r="M453" i="1" s="1"/>
  <c r="H439" i="1"/>
  <c r="M439" i="1" s="1"/>
  <c r="F445" i="1"/>
  <c r="F449" i="1"/>
  <c r="H449" i="1" s="1"/>
  <c r="M449" i="1" s="1"/>
  <c r="H433" i="1"/>
  <c r="M433" i="1" s="1"/>
  <c r="F410" i="1"/>
  <c r="L410" i="1" s="1"/>
  <c r="F413" i="1"/>
  <c r="H413" i="1" s="1"/>
  <c r="M413" i="1" s="1"/>
  <c r="H405" i="1"/>
  <c r="H406" i="1"/>
  <c r="F420" i="1"/>
  <c r="H420" i="1" s="1"/>
  <c r="M420" i="1" s="1"/>
  <c r="H404" i="1"/>
  <c r="M404" i="1" s="1"/>
  <c r="H424" i="1"/>
  <c r="M424" i="1" s="1"/>
  <c r="F416" i="1"/>
  <c r="H368" i="1"/>
  <c r="F373" i="1"/>
  <c r="F378" i="1"/>
  <c r="H378" i="1" s="1"/>
  <c r="M378" i="1" s="1"/>
  <c r="F377" i="1"/>
  <c r="H377" i="1" s="1"/>
  <c r="M377" i="1" s="1"/>
  <c r="L372" i="1"/>
  <c r="M372" i="1" s="1"/>
  <c r="F392" i="1"/>
  <c r="H392" i="1" s="1"/>
  <c r="M392" i="1" s="1"/>
  <c r="F391" i="1"/>
  <c r="H391" i="1" s="1"/>
  <c r="M391" i="1" s="1"/>
  <c r="F387" i="1"/>
  <c r="F371" i="1"/>
  <c r="H371" i="1" s="1"/>
  <c r="M371" i="1" s="1"/>
  <c r="F370" i="1"/>
  <c r="H370" i="1" s="1"/>
  <c r="M370" i="1" s="1"/>
  <c r="F367" i="1"/>
  <c r="H381" i="1"/>
  <c r="M381" i="1" s="1"/>
  <c r="L395" i="1"/>
  <c r="H395" i="1"/>
  <c r="H369" i="1"/>
  <c r="F270" i="1"/>
  <c r="H270" i="1" s="1"/>
  <c r="M270" i="1" s="1"/>
  <c r="L308" i="1"/>
  <c r="M308" i="1" s="1"/>
  <c r="F299" i="1"/>
  <c r="H299" i="1" s="1"/>
  <c r="M299" i="1" s="1"/>
  <c r="L343" i="1"/>
  <c r="M343" i="1" s="1"/>
  <c r="F300" i="1"/>
  <c r="H300" i="1" s="1"/>
  <c r="M300" i="1" s="1"/>
  <c r="F106" i="1"/>
  <c r="H106" i="1" s="1"/>
  <c r="M106" i="1" s="1"/>
  <c r="F140" i="1"/>
  <c r="H140" i="1" s="1"/>
  <c r="M140" i="1" s="1"/>
  <c r="F302" i="1"/>
  <c r="H302" i="1" s="1"/>
  <c r="F305" i="1"/>
  <c r="H305" i="1" s="1"/>
  <c r="M305" i="1" s="1"/>
  <c r="F304" i="1"/>
  <c r="H304" i="1" s="1"/>
  <c r="M304" i="1" s="1"/>
  <c r="H330" i="1"/>
  <c r="F339" i="1"/>
  <c r="H339" i="1" s="1"/>
  <c r="M339" i="1" s="1"/>
  <c r="F335" i="1"/>
  <c r="F340" i="1"/>
  <c r="H340" i="1" s="1"/>
  <c r="M340" i="1" s="1"/>
  <c r="F353" i="1"/>
  <c r="H353" i="1" s="1"/>
  <c r="M353" i="1" s="1"/>
  <c r="F354" i="1"/>
  <c r="H354" i="1" s="1"/>
  <c r="M354" i="1" s="1"/>
  <c r="F349" i="1"/>
  <c r="H296" i="1"/>
  <c r="F318" i="1"/>
  <c r="H318" i="1" s="1"/>
  <c r="M318" i="1" s="1"/>
  <c r="F319" i="1"/>
  <c r="H319" i="1" s="1"/>
  <c r="M319" i="1" s="1"/>
  <c r="F314" i="1"/>
  <c r="H297" i="1"/>
  <c r="M297" i="1" s="1"/>
  <c r="F332" i="1"/>
  <c r="H332" i="1" s="1"/>
  <c r="M332" i="1" s="1"/>
  <c r="F333" i="1"/>
  <c r="H333" i="1" s="1"/>
  <c r="M333" i="1" s="1"/>
  <c r="F329" i="1"/>
  <c r="H298" i="1"/>
  <c r="H357" i="1"/>
  <c r="L357" i="1"/>
  <c r="H331" i="1"/>
  <c r="L322" i="1"/>
  <c r="M322" i="1" s="1"/>
  <c r="H295" i="1"/>
  <c r="M295" i="1" s="1"/>
  <c r="H238" i="1"/>
  <c r="M238" i="1" s="1"/>
  <c r="H166" i="1"/>
  <c r="M166" i="1" s="1"/>
  <c r="F264" i="1"/>
  <c r="H264" i="1" s="1"/>
  <c r="M264" i="1" s="1"/>
  <c r="F265" i="1"/>
  <c r="H265" i="1" s="1"/>
  <c r="M265" i="1" s="1"/>
  <c r="H201" i="1"/>
  <c r="M201" i="1" s="1"/>
  <c r="F260" i="1"/>
  <c r="L260" i="1" s="1"/>
  <c r="F279" i="1"/>
  <c r="L279" i="1" s="1"/>
  <c r="F283" i="1"/>
  <c r="H283" i="1" s="1"/>
  <c r="M283" i="1" s="1"/>
  <c r="F267" i="1"/>
  <c r="L267" i="1" s="1"/>
  <c r="F250" i="1"/>
  <c r="H250" i="1" s="1"/>
  <c r="M250" i="1" s="1"/>
  <c r="H263" i="1"/>
  <c r="H226" i="1"/>
  <c r="H227" i="1"/>
  <c r="H225" i="1"/>
  <c r="H261" i="1"/>
  <c r="H262" i="1"/>
  <c r="M262" i="1" s="1"/>
  <c r="F244" i="1"/>
  <c r="H253" i="1"/>
  <c r="M253" i="1" s="1"/>
  <c r="F231" i="1"/>
  <c r="F235" i="1"/>
  <c r="H235" i="1" s="1"/>
  <c r="M235" i="1" s="1"/>
  <c r="F229" i="1"/>
  <c r="H229" i="1" s="1"/>
  <c r="M229" i="1" s="1"/>
  <c r="F228" i="1"/>
  <c r="H228" i="1" s="1"/>
  <c r="M228" i="1" s="1"/>
  <c r="H287" i="1"/>
  <c r="M287" i="1" s="1"/>
  <c r="H273" i="1"/>
  <c r="M273" i="1" s="1"/>
  <c r="H188" i="1"/>
  <c r="H189" i="1"/>
  <c r="H190" i="1"/>
  <c r="L194" i="1"/>
  <c r="H194" i="1"/>
  <c r="F197" i="1"/>
  <c r="H197" i="1" s="1"/>
  <c r="M197" i="1" s="1"/>
  <c r="H216" i="1"/>
  <c r="M216" i="1" s="1"/>
  <c r="F207" i="1"/>
  <c r="F212" i="1"/>
  <c r="H212" i="1" s="1"/>
  <c r="M212" i="1" s="1"/>
  <c r="F198" i="1"/>
  <c r="H198" i="1" s="1"/>
  <c r="M198" i="1" s="1"/>
  <c r="F187" i="1"/>
  <c r="F191" i="1"/>
  <c r="H191" i="1" s="1"/>
  <c r="M191" i="1" s="1"/>
  <c r="L172" i="1"/>
  <c r="H172" i="1"/>
  <c r="F176" i="1"/>
  <c r="H176" i="1" s="1"/>
  <c r="M176" i="1" s="1"/>
  <c r="F177" i="1"/>
  <c r="H177" i="1" s="1"/>
  <c r="M177" i="1" s="1"/>
  <c r="L180" i="1"/>
  <c r="M180" i="1" s="1"/>
  <c r="H153" i="1"/>
  <c r="H154" i="1"/>
  <c r="H155" i="1"/>
  <c r="L159" i="1"/>
  <c r="H159" i="1"/>
  <c r="F162" i="1"/>
  <c r="H162" i="1" s="1"/>
  <c r="M162" i="1" s="1"/>
  <c r="F152" i="1"/>
  <c r="F163" i="1"/>
  <c r="H163" i="1" s="1"/>
  <c r="M163" i="1" s="1"/>
  <c r="F156" i="1"/>
  <c r="H156" i="1" s="1"/>
  <c r="M156" i="1" s="1"/>
  <c r="L109" i="1"/>
  <c r="M109" i="1" s="1"/>
  <c r="F89" i="1"/>
  <c r="L89" i="1" s="1"/>
  <c r="F92" i="1"/>
  <c r="H92" i="1" s="1"/>
  <c r="M92" i="1" s="1"/>
  <c r="F105" i="1"/>
  <c r="H105" i="1" s="1"/>
  <c r="M105" i="1" s="1"/>
  <c r="H144" i="1"/>
  <c r="M144" i="1" s="1"/>
  <c r="F136" i="1"/>
  <c r="L136" i="1" s="1"/>
  <c r="H137" i="1"/>
  <c r="M137" i="1" s="1"/>
  <c r="H119" i="1"/>
  <c r="F116" i="1"/>
  <c r="L116" i="1" s="1"/>
  <c r="F120" i="1"/>
  <c r="H120" i="1" s="1"/>
  <c r="M120" i="1" s="1"/>
  <c r="L130" i="1"/>
  <c r="M130" i="1" s="1"/>
  <c r="H81" i="1"/>
  <c r="M81" i="1" s="1"/>
  <c r="F61" i="1"/>
  <c r="L61" i="1" s="1"/>
  <c r="F64" i="1"/>
  <c r="H64" i="1" s="1"/>
  <c r="M64" i="1" s="1"/>
  <c r="H117" i="1"/>
  <c r="H118" i="1"/>
  <c r="L123" i="1"/>
  <c r="H123" i="1"/>
  <c r="F126" i="1"/>
  <c r="H126" i="1" s="1"/>
  <c r="M126" i="1" s="1"/>
  <c r="F127" i="1"/>
  <c r="H127" i="1" s="1"/>
  <c r="M127" i="1" s="1"/>
  <c r="L74" i="1"/>
  <c r="H74" i="1"/>
  <c r="F77" i="1"/>
  <c r="H77" i="1" s="1"/>
  <c r="M77" i="1" s="1"/>
  <c r="F78" i="1"/>
  <c r="H78" i="1" s="1"/>
  <c r="M78" i="1" s="1"/>
  <c r="H62" i="1"/>
  <c r="H63" i="1"/>
  <c r="H102" i="1"/>
  <c r="L102" i="1"/>
  <c r="H90" i="1"/>
  <c r="H91" i="1"/>
  <c r="H55" i="1"/>
  <c r="H52" i="1"/>
  <c r="H53" i="1"/>
  <c r="H54" i="1"/>
  <c r="L38" i="1"/>
  <c r="H38" i="1"/>
  <c r="L13" i="1"/>
  <c r="H13" i="1"/>
  <c r="M434" i="1" l="1"/>
  <c r="H138" i="1"/>
  <c r="M138" i="1" s="1"/>
  <c r="M357" i="1"/>
  <c r="L10" i="1"/>
  <c r="H10" i="1"/>
  <c r="L35" i="1"/>
  <c r="H35" i="1"/>
  <c r="M473" i="1"/>
  <c r="M227" i="1"/>
  <c r="M296" i="1"/>
  <c r="M435" i="1"/>
  <c r="L445" i="1"/>
  <c r="H445" i="1"/>
  <c r="M188" i="1"/>
  <c r="H410" i="1"/>
  <c r="M410" i="1" s="1"/>
  <c r="M406" i="1"/>
  <c r="M405" i="1"/>
  <c r="H267" i="1"/>
  <c r="M267" i="1" s="1"/>
  <c r="L416" i="1"/>
  <c r="H416" i="1"/>
  <c r="L302" i="1"/>
  <c r="M302" i="1" s="1"/>
  <c r="H260" i="1"/>
  <c r="M260" i="1" s="1"/>
  <c r="L387" i="1"/>
  <c r="H387" i="1"/>
  <c r="M369" i="1"/>
  <c r="M395" i="1"/>
  <c r="L373" i="1"/>
  <c r="H373" i="1"/>
  <c r="M368" i="1"/>
  <c r="L367" i="1"/>
  <c r="H367" i="1"/>
  <c r="M102" i="1"/>
  <c r="M298" i="1"/>
  <c r="H279" i="1"/>
  <c r="M279" i="1" s="1"/>
  <c r="L329" i="1"/>
  <c r="H329" i="1"/>
  <c r="L349" i="1"/>
  <c r="H349" i="1"/>
  <c r="M331" i="1"/>
  <c r="L335" i="1"/>
  <c r="H335" i="1"/>
  <c r="L314" i="1"/>
  <c r="H314" i="1"/>
  <c r="M330" i="1"/>
  <c r="M117" i="1"/>
  <c r="H231" i="1"/>
  <c r="L231" i="1"/>
  <c r="M225" i="1"/>
  <c r="L244" i="1"/>
  <c r="H244" i="1"/>
  <c r="L224" i="1"/>
  <c r="H224" i="1"/>
  <c r="M226" i="1"/>
  <c r="M263" i="1"/>
  <c r="M261" i="1"/>
  <c r="L187" i="1"/>
  <c r="H187" i="1"/>
  <c r="M194" i="1"/>
  <c r="M190" i="1"/>
  <c r="L207" i="1"/>
  <c r="H207" i="1"/>
  <c r="M189" i="1"/>
  <c r="M172" i="1"/>
  <c r="L152" i="1"/>
  <c r="H152" i="1"/>
  <c r="M159" i="1"/>
  <c r="M155" i="1"/>
  <c r="M154" i="1"/>
  <c r="M153" i="1"/>
  <c r="H89" i="1"/>
  <c r="M89" i="1" s="1"/>
  <c r="H136" i="1"/>
  <c r="M136" i="1" s="1"/>
  <c r="H116" i="1"/>
  <c r="M116" i="1" s="1"/>
  <c r="M119" i="1"/>
  <c r="H61" i="1"/>
  <c r="M61" i="1" s="1"/>
  <c r="M123" i="1"/>
  <c r="M118" i="1"/>
  <c r="M74" i="1"/>
  <c r="M63" i="1"/>
  <c r="M62" i="1"/>
  <c r="M91" i="1"/>
  <c r="M90" i="1"/>
  <c r="M54" i="1"/>
  <c r="M53" i="1"/>
  <c r="M52" i="1"/>
  <c r="M55" i="1"/>
  <c r="M38" i="1"/>
  <c r="M13" i="1"/>
  <c r="M35" i="1" l="1"/>
  <c r="M10" i="1"/>
  <c r="M445" i="1"/>
  <c r="M416" i="1"/>
  <c r="M367" i="1"/>
  <c r="M373" i="1"/>
  <c r="M387" i="1"/>
  <c r="M314" i="1"/>
  <c r="M335" i="1"/>
  <c r="M349" i="1"/>
  <c r="M329" i="1"/>
  <c r="M231" i="1"/>
  <c r="M224" i="1"/>
  <c r="M244" i="1"/>
  <c r="M207" i="1"/>
  <c r="M187" i="1"/>
  <c r="M152" i="1"/>
  <c r="F26" i="1" l="1"/>
  <c r="F32" i="1"/>
  <c r="H32" i="1" s="1"/>
  <c r="M32" i="1" s="1"/>
  <c r="F31" i="1"/>
  <c r="H31" i="1" s="1"/>
  <c r="M31" i="1" s="1"/>
  <c r="H26" i="1" l="1"/>
  <c r="H27" i="1"/>
  <c r="H29" i="1"/>
  <c r="L26" i="1"/>
  <c r="H28" i="1"/>
  <c r="H30" i="1"/>
  <c r="J519" i="1" l="1"/>
  <c r="M26" i="1"/>
  <c r="M29" i="1"/>
  <c r="M27" i="1"/>
  <c r="M30" i="1"/>
  <c r="M28" i="1"/>
  <c r="F51" i="1" l="1"/>
  <c r="H51" i="1" l="1"/>
  <c r="F56" i="1" l="1"/>
  <c r="L51" i="1"/>
  <c r="L519" i="1" s="1"/>
  <c r="F57" i="1"/>
  <c r="H57" i="1" l="1"/>
  <c r="H56" i="1"/>
  <c r="M56" i="1" s="1"/>
  <c r="M51" i="1"/>
  <c r="M57" i="1" l="1"/>
  <c r="M519" i="1" s="1"/>
  <c r="H519" i="1"/>
  <c r="M520" i="1" s="1"/>
  <c r="M521" i="1" l="1"/>
  <c r="M522" i="1" l="1"/>
  <c r="M523" i="1" s="1"/>
  <c r="M524" i="1" l="1"/>
  <c r="M525" i="1" s="1"/>
  <c r="M526" i="1" s="1"/>
  <c r="M527" i="1" s="1"/>
  <c r="M528" i="1" l="1"/>
  <c r="M529" i="1" s="1"/>
</calcChain>
</file>

<file path=xl/sharedStrings.xml><?xml version="1.0" encoding="utf-8"?>
<sst xmlns="http://schemas.openxmlformats.org/spreadsheetml/2006/main" count="3007" uniqueCount="412">
  <si>
    <t>#</t>
  </si>
  <si>
    <t>Description of works and materials</t>
  </si>
  <si>
    <t>სამუშაოს, მასალის დასახელება</t>
  </si>
  <si>
    <t>განზომილება
Umit</t>
  </si>
  <si>
    <t xml:space="preserve">ნორმ. რესურსი
Coefficient </t>
  </si>
  <si>
    <t>რაოდენობა
Volume</t>
  </si>
  <si>
    <t>ხელფასი
Salary</t>
  </si>
  <si>
    <t>მანქანა მექანიზმები
Mechanism</t>
  </si>
  <si>
    <t>ჯამი
SUM</t>
  </si>
  <si>
    <t>ერთ. ფასი
Unit price</t>
  </si>
  <si>
    <t>ჯამი
Sum</t>
  </si>
  <si>
    <t>Arranging a layer of gravel Thickness. 200 mm</t>
  </si>
  <si>
    <t>ხრეშის ფენის მოწყობა სისქ. 200 მმ</t>
  </si>
  <si>
    <t>m3</t>
  </si>
  <si>
    <t xml:space="preserve">Gravel </t>
  </si>
  <si>
    <t>ხრეში</t>
  </si>
  <si>
    <t>m2</t>
  </si>
  <si>
    <t>Kg</t>
  </si>
  <si>
    <t>Protective membrane</t>
  </si>
  <si>
    <t>T</t>
  </si>
  <si>
    <t>Ribbon foundation forming</t>
  </si>
  <si>
    <t>ლენტური საძირკვლის ყალიბი</t>
  </si>
  <si>
    <t>Additional materials</t>
  </si>
  <si>
    <t>დამხმარე მასალები</t>
  </si>
  <si>
    <t>Diaphragm forming</t>
  </si>
  <si>
    <t>დიაფრაგმის ყალიბი</t>
  </si>
  <si>
    <t xml:space="preserve">Roof slab </t>
  </si>
  <si>
    <t>გადახურვის ფილის ფართი</t>
  </si>
  <si>
    <t>Roof slab forming</t>
  </si>
  <si>
    <t>გადახურვის ფილის ყალიბი</t>
  </si>
  <si>
    <t>Beam forming</t>
  </si>
  <si>
    <t>რიგელის ყალიბი</t>
  </si>
  <si>
    <t>Column forming</t>
  </si>
  <si>
    <t>სვეტის ყალიბი</t>
  </si>
  <si>
    <t>pcs</t>
  </si>
  <si>
    <t>საფეხურების რაოდენობა</t>
  </si>
  <si>
    <t>Staircase forming</t>
  </si>
  <si>
    <t>კიბის ყალიბი</t>
  </si>
  <si>
    <t>SUM</t>
  </si>
  <si>
    <t>ჯამი</t>
  </si>
  <si>
    <t>GEL</t>
  </si>
  <si>
    <t>Materials transport cost
(excluding concrete)</t>
  </si>
  <si>
    <t>მასალების სატრანსპორტო ხარჯები (ბეტონის გარდა)</t>
  </si>
  <si>
    <t>Overhead costs</t>
  </si>
  <si>
    <t>ზედნადები ხარჯები</t>
  </si>
  <si>
    <t>Profit</t>
  </si>
  <si>
    <t>გეგმიური დაგროვება</t>
  </si>
  <si>
    <t>VAT</t>
  </si>
  <si>
    <t>დ.ღ.გ</t>
  </si>
  <si>
    <t>TOTAL</t>
  </si>
  <si>
    <t>სულ</t>
  </si>
  <si>
    <t>Block B</t>
  </si>
  <si>
    <t>Block A</t>
  </si>
  <si>
    <t>ბლოკი B</t>
  </si>
  <si>
    <t>ბლოკი A</t>
  </si>
  <si>
    <t>Arranging the preparation thickness. 100 mm concrete C12/15</t>
  </si>
  <si>
    <t>მომზადების მოწყობა სისქ. 100 მმ ბეტონით C12/15</t>
  </si>
  <si>
    <t>Concrete C12/15</t>
  </si>
  <si>
    <t>ბეტონი C12/15</t>
  </si>
  <si>
    <t>Arrangement of monolithic slab foundation with concrete at C25/30 at -0.10</t>
  </si>
  <si>
    <t>მონოლითური ფილ საძირკვლის მოწყობა ბეტონით C25/30 ნიშნულზე -0.10</t>
  </si>
  <si>
    <t>Level +3.20</t>
  </si>
  <si>
    <t>ნიშნული +3.20</t>
  </si>
  <si>
    <t>Arrangement of monolithic slab foundation with concrete at C25/30 at +3.20</t>
  </si>
  <si>
    <t>Concrete C25/30</t>
  </si>
  <si>
    <t>მონოლითური ფილ საძირკვლის მოწყობა ბეტონით C25/30 ნიშნულზე +3.20</t>
  </si>
  <si>
    <t>მონოლითური რ/ბ გადახურვის ფილის მოწყობა ბეტონით C25/30 ნიშნულზე +3.15</t>
  </si>
  <si>
    <t>ბეტონი C25/30</t>
  </si>
  <si>
    <t>Level -0.10</t>
  </si>
  <si>
    <t>ნიშნული -0.10</t>
  </si>
  <si>
    <t>მონოლითური რ/ბ სვეტის მოწყობა ბეტონით C25/30 ნიშნულზე +3.20</t>
  </si>
  <si>
    <t>მონოლითური რ/ბ სვეტის მოწყობა ბეტონით C25/30 ნიშნულზე -0.10</t>
  </si>
  <si>
    <t>მონოლითური კიბე მოწყობა ბეტონით C25/30 ნიშნულზე -0.10</t>
  </si>
  <si>
    <t>Monolithic staircase Arrangement with concrete C25/30 at level +3.15</t>
  </si>
  <si>
    <t>მონოლითური კიბე მოწყობა ბეტონით C25/30 ნიშნულზე +3.15</t>
  </si>
  <si>
    <t>მონოლითური რ/ბ რიგელის მოწყობა ბეტონით C25/30 ნიშნულზე +3.20</t>
  </si>
  <si>
    <t>მონოლითური კიბე მოწყობა ბეტონით C25/30 ნიშნულზე +3.20</t>
  </si>
  <si>
    <t>Level +6.87</t>
  </si>
  <si>
    <t>ნიშნული +6.87</t>
  </si>
  <si>
    <t>მონოლითური კიბე მოწყობა ბეტონით C25/30 ნიშნულზე +6.87</t>
  </si>
  <si>
    <t>Monolithic staircase Arrangement with concrete C25/30 at level +6.87</t>
  </si>
  <si>
    <t>მონოლითური რ/ბ გადახურვის ფილის მოწყობა ბეტონით C25/30 ნიშნულზე +6.87</t>
  </si>
  <si>
    <t>მონოლითური რ/ბ სვეტის მოწყობა ბეტონით C25/30 ნიშნულზე +6.92</t>
  </si>
  <si>
    <t>მონოლითური რ/ბ რიგელის მოწყობა ბეტონით C25/30 ნიშნულზე +6.92</t>
  </si>
  <si>
    <t>მონოლითური კიბე მოწყობა ბეტონით C25/30 ნიშნულზე +6.92</t>
  </si>
  <si>
    <t>მონოლითური რ/ბ გადახურვის ფილის მოწყობა ბეტონით C25/30 ნიშნულზე +6.92</t>
  </si>
  <si>
    <t>Level +10.64</t>
  </si>
  <si>
    <t>ნიშნული +10.64</t>
  </si>
  <si>
    <t>მონოლითური რ/ბ სვეტის მოწყობა ბეტონით C25/30 ნიშნულზე +10.64</t>
  </si>
  <si>
    <t>მონოლითური კიბე მოწყობა ბეტონით C25/30 ნიშნულზე +10.64</t>
  </si>
  <si>
    <t>მონოლითური რ/ბ რიგელის მოწყობა ბეტონით C25/30 ნიშნულზე +10.64</t>
  </si>
  <si>
    <t>მონოლითური რ/ბ გადახურვის ფილის მოწყობა ბეტონით C25/30 ნიშნულზე +10.64</t>
  </si>
  <si>
    <t>Level +14.36</t>
  </si>
  <si>
    <t>ნიშნული +14.36</t>
  </si>
  <si>
    <t>მონოლითური რ/ბ სვეტის მოწყობა ბეტონით C25/30 ნიშნულზე +14.36</t>
  </si>
  <si>
    <t>მონოლითური კიბე მოწყობა ბეტონით C25/30 ნიშნულზე +14.36</t>
  </si>
  <si>
    <t>მონოლითური რ/ბ რიგელის მოწყობა ბეტონით C25/30 ნიშნულზე +14.36</t>
  </si>
  <si>
    <t>მონოლითური რ/ბ გადახურვის ფილის მოწყობა ბეტონით C25/30 ნიშნულზე +14.36</t>
  </si>
  <si>
    <t>Level +18.08</t>
  </si>
  <si>
    <t>ნიშნული +18.08</t>
  </si>
  <si>
    <t>მონოლითური რ/ბ სვეტის მოწყობა ბეტონით C25/30 ნიშნულზე +18.13</t>
  </si>
  <si>
    <t>მონოლითური კიბე მოწყობა ბეტონით C25/30 ნიშნულზე +18.13</t>
  </si>
  <si>
    <t>მონოლითური რ/ბ გადახურვის ფილის მოწყობა ბეტონით C25/30 ნიშნულზე +18.13</t>
  </si>
  <si>
    <t>მონოლითური რ/ბ რიგელის მოწყობა ბეტონით C25/30 ნიშნულზე +18.42</t>
  </si>
  <si>
    <t>Level +22.19</t>
  </si>
  <si>
    <t>ნიშნული +22.19</t>
  </si>
  <si>
    <t>მონოლითური რ/ბ სვეტის მოწყობა ბეტონით C25/30 ნიშნულზე +22.19</t>
  </si>
  <si>
    <t>მონოლითური რ/ბ გადახურვის ფილის მოწყობა ბეტონით C25/30 ნიშნულზე +22.19</t>
  </si>
  <si>
    <t>Level +24.95</t>
  </si>
  <si>
    <t>ნიშნული +24.95</t>
  </si>
  <si>
    <t>მონოლითური რ/ბ გადახურვის ფილის მოწყობა ბეტონით C25/30 ნიშნულზე +18.42</t>
  </si>
  <si>
    <t>Level +21.23</t>
  </si>
  <si>
    <t>ნიშნული +21.23</t>
  </si>
  <si>
    <t xml:space="preserve">Foundation slab </t>
  </si>
  <si>
    <t>საძირკველი</t>
  </si>
  <si>
    <t>Foundation</t>
  </si>
  <si>
    <t>Labor cost</t>
  </si>
  <si>
    <t>First layer Uniflex</t>
  </si>
  <si>
    <t>Second layer Uniflex</t>
  </si>
  <si>
    <t>Bitumen primer based on gasoline</t>
  </si>
  <si>
    <t>Propane</t>
  </si>
  <si>
    <t>შრომის დანახარჯები</t>
  </si>
  <si>
    <t xml:space="preserve"> I ფენა უნიფლექსი</t>
  </si>
  <si>
    <t xml:space="preserve"> II ფენა უნიფლექსი</t>
  </si>
  <si>
    <t>ბითუმის პრაიმერი ბენზინის ბაზაზე</t>
  </si>
  <si>
    <t>გაზი</t>
  </si>
  <si>
    <t>დამცავი სადენაჟე მემბრანა</t>
  </si>
  <si>
    <t>მონოლითური რ/ბ დიაფრაგმის მოწყობა ბეტონით C25/30 ნიშნულზე +6.87</t>
  </si>
  <si>
    <t>მონოლითური რ/ბ დიაფრაგმის მოწყობა ბეტონით C25/30 ნიშნულზე +10.64</t>
  </si>
  <si>
    <t>მონოლითური რ/ბ დიაფრაგმის მოწყობა ბეტონით C25/30 ნიშნულზე +14.36</t>
  </si>
  <si>
    <t>მონოლითური რ/ბ დიაფრაგმის მოწყობა ბეტონით C25/30 ნიშნულზე +18.13</t>
  </si>
  <si>
    <t>მონოლითური რ/ბ დიაფრაგმის მოწყობა ბეტონით C25/30 ნიშნულზე +22.19</t>
  </si>
  <si>
    <t>მონოლითური რ/ბ რიგელის მოწყობა ბეტონით C25/30 ნიშნულზე +18.08</t>
  </si>
  <si>
    <t>მონოლითური რ/ბ რიგელის მოწყობა ბეტონით C25/30 ნიშნულზე +22.10</t>
  </si>
  <si>
    <t>მონოლითური რ/ბ რიგელის მოწყობა ბეტონით C25/30 ნიშნულზე +6.87</t>
  </si>
  <si>
    <t>მონოლითური რ/ბ გადახურვის ფილის მოწყობა ბეტონით C25/30 ნიშნულზე +25.04</t>
  </si>
  <si>
    <t>მონოლითური რ/ბ კედლისა მოწყობა ბეტონით C25/30 ნიშნულზე +3.20</t>
  </si>
  <si>
    <t>მონოლითური რ/ბ პარაპეტების მოწყობა ბეტონით C25/30 ნიშნულზე +22.19</t>
  </si>
  <si>
    <t>მონოლითური რ/ბ დიაფრაგმის მოწყობა ბეტონით C25/30 ნიშნულზე -0.10</t>
  </si>
  <si>
    <t>მონოლითური რ/ბ გადახურვის ფილის მოწყობა ბეტონით C25/30 ნიშნულზე +21.27</t>
  </si>
  <si>
    <t>მონოლითური რ/ბ დიაფრაგმის მოწყობა ბეტონით C25/30 ნიშნულზე +3.15</t>
  </si>
  <si>
    <t>მონოლითური რ/ბ დიაფრაგმის მოწყობა ბეტონით C25/30 ნიშნულზე +6.92</t>
  </si>
  <si>
    <t>მონოლითური რ/ბ დიაფრაგმის მოწყობა ბეტონით C25/30 ნიშნულზე +18.42</t>
  </si>
  <si>
    <t>მონოლითური რ/ბ პარაპეტების მოწყობა ბეტონით C25/30 ნიშნულზე +18.42</t>
  </si>
  <si>
    <t>Roofing</t>
  </si>
  <si>
    <t>სახურავი</t>
  </si>
  <si>
    <t>Foundation waterproofing</t>
  </si>
  <si>
    <t>საძირკვლის ჰიდროიზოლაცია</t>
  </si>
  <si>
    <t>Waterproofing membrane</t>
  </si>
  <si>
    <t>ჰიდროსაიზოლაციო მემბრანა</t>
  </si>
  <si>
    <t>`</t>
  </si>
  <si>
    <t>არმატურა დ=10 B500C</t>
  </si>
  <si>
    <t>Rebar D=10 B500C</t>
  </si>
  <si>
    <t>არმატურა დ=8 B500C</t>
  </si>
  <si>
    <t>Rebar D=8 B500C</t>
  </si>
  <si>
    <t>Rebar D=22 B500C</t>
  </si>
  <si>
    <t>არმატურა დ=22 B500C</t>
  </si>
  <si>
    <t>Rebar D=18 B500C</t>
  </si>
  <si>
    <t>არმატურა დ=18 B500C</t>
  </si>
  <si>
    <t>Rebar D=12 B500C</t>
  </si>
  <si>
    <t>არმატურა დ=12 B500C</t>
  </si>
  <si>
    <t>Rebar D=16 B500C</t>
  </si>
  <si>
    <t>არმატურა დ=16 B500C</t>
  </si>
  <si>
    <t>Contingencies</t>
  </si>
  <si>
    <t>გაუთვალისწინებელი ხარჯი</t>
  </si>
  <si>
    <t>მონოლითური რ/ბ კედლის მოწყობა ბეტონით C25/30 ნიშნულზე -0.10</t>
  </si>
  <si>
    <t>მასალა
Material</t>
  </si>
  <si>
    <t>Pool</t>
  </si>
  <si>
    <t>აუზი</t>
  </si>
  <si>
    <t>Arrangement of monolithic pool with concrete at C25/30 at +5.52</t>
  </si>
  <si>
    <t>მონოლითური აუზის მოწყობა ბეტონით C25/30 ნიშნულზე +5.52</t>
  </si>
  <si>
    <t>Arrangement of monolithic R/ concrete wall  with concrete C25/30 at level -0.10</t>
  </si>
  <si>
    <t>Arrangement of monolithic R/ concrete diaphragm with concrete C25/30 at level -0.10</t>
  </si>
  <si>
    <t>Arrangement of monolithic R/ concrete column with concrete C25/30  at level -0.10</t>
  </si>
  <si>
    <t>Arrangement of monolithic R/ concrete wall with concrete C25/30 at level +3.20</t>
  </si>
  <si>
    <t>Arrangement of monolithic R/ concrete diaphragm with concrete C25/30 at level +6.87</t>
  </si>
  <si>
    <t>Arrangement of monolithic R/ concrete column with concrete C25/30  at level +3.20</t>
  </si>
  <si>
    <t>Arrangement of monolithic R/ concrete diaphragm with concrete C25/30 at level +3.15</t>
  </si>
  <si>
    <t>Arrangement of monolithic R/ concrete beam with concrete C25/30 +3.20</t>
  </si>
  <si>
    <t>Arrangement of monolithic R/ concrete column with concrete C25/30  at level +6.92</t>
  </si>
  <si>
    <t>Arrangement of monolithic R/ concrete beam with concrete C25/30 +6.87</t>
  </si>
  <si>
    <t>Arrangement of monolithic R/ concrete diaphragm with concrete C25/30 at level +6.92</t>
  </si>
  <si>
    <t>Arrangement of monolithic R/ concrete beam with concrete C25/30 +6.92</t>
  </si>
  <si>
    <t>Arrangement of monolithic R/ concrete roofing slab with concrete C25/30 at +6.92</t>
  </si>
  <si>
    <t>Arrangement of monolithic R/ concrete diaphragm with concrete C25/30 at level +10.64</t>
  </si>
  <si>
    <t>Arrangement of monolithic R/ concrete column with concrete C25/30  at level +10.64</t>
  </si>
  <si>
    <t>Arrangement of monolithic R/ concrete beam with concrete C25/30 +10.64</t>
  </si>
  <si>
    <t>Arrangement of monolithic R/ concrete roofing slab with concrete C25/30 at +10.64</t>
  </si>
  <si>
    <t>Arrangement of monolithic R/ concrete diaphragm with concrete C25/30 at level +14.36</t>
  </si>
  <si>
    <t>Arrangement of monolithic R/ concrete column with concrete C25/30  at level +14.36</t>
  </si>
  <si>
    <t>Arrangement of monolithic R/ concrete beam with concrete C25/30 +14.36</t>
  </si>
  <si>
    <t>Arrangement of monolithic R/ concrete roofing slab with concrete C25/30 at +14.36</t>
  </si>
  <si>
    <t>Arrangement of monolithic R/ concrete diaphragm with concrete C25/30 at level +18.13</t>
  </si>
  <si>
    <t>Arrangement of monolithic R/ concrete column with concrete C25/30  at level +18.13</t>
  </si>
  <si>
    <t>Arrangement of monolithic R/ concrete beam with concrete C25/30 +18.08</t>
  </si>
  <si>
    <t>Arrangement of monolithic R/ concrete roofing slab with concrete C25/30 at +18.13</t>
  </si>
  <si>
    <t>Arrangement of monolithic R/ concrete diaphragm with concrete C25/30 at level +18.42</t>
  </si>
  <si>
    <t>Arrangement of monolithic R/ concrete beam with concrete C25/30 +18.42</t>
  </si>
  <si>
    <t>Arrangement of monolithic R/ concrete roofing slab with concrete C25/30 at +18.42</t>
  </si>
  <si>
    <t>Arrangement of monolithic R/ concrete diaphragm with concrete C25/30 at level +22.19</t>
  </si>
  <si>
    <t>Arrangement of monolithic R/ concrete column with concrete C25/30  at level +22.19</t>
  </si>
  <si>
    <t>Arrangement of monolithic R/ concrete beam with concrete C25/30 +22.10</t>
  </si>
  <si>
    <t>Arrangement of monolithic R/ concrete roofing slab with concrete C25/30 at +22.19</t>
  </si>
  <si>
    <t>Arrangement of monolithic R/ concrete roofing slab with concrete C25/30 at +21.27</t>
  </si>
  <si>
    <t>Arrangement of monolithic R/ concrete roofing slab with concrete C25/30 at +25.04</t>
  </si>
  <si>
    <t>Arrangement of monolithic R/ concrete parapets with concrete C25/30  at level +22.19</t>
  </si>
  <si>
    <t>Arrangement of monolithic R/ concrete parapets with concrete C25/30  at level +18.42</t>
  </si>
  <si>
    <t>Arrangement of monolithic staircase with concrete C25/30 at level -0.10</t>
  </si>
  <si>
    <t>Arrangement of monolithic staircase with concrete C25/30 at level +3.20</t>
  </si>
  <si>
    <t>Arrangement of monolithic staircase with concrete C25/30 at +3.15</t>
  </si>
  <si>
    <t>Arrangement of monolithic staircase with concrete C25/30 at +6.87</t>
  </si>
  <si>
    <t>Arrangement of monolithic staircase with concrete C25/30 at level +6.92</t>
  </si>
  <si>
    <t>Arrangement of monolithic staircase with concrete C25/30at level +10.64</t>
  </si>
  <si>
    <t>Arrangement of monolithic staircase with concrete C25/30 at level +10.64</t>
  </si>
  <si>
    <t>Arrangement of monolithic staircase with concrete C25/30 at level +14.36</t>
  </si>
  <si>
    <t>Arrangement of monolithic staircase with concrete C25/30 at level +18.13</t>
  </si>
  <si>
    <t>Ramp</t>
  </si>
  <si>
    <t>პანდუსი</t>
  </si>
  <si>
    <t>Arrangement of monolithic R /concrete ramp with concrete C25/30</t>
  </si>
  <si>
    <t>მონოლითური რ/ბ პანდუსის მოწყობა ბეტონით C25/30</t>
  </si>
  <si>
    <t>Ramp area</t>
  </si>
  <si>
    <t>პანდუსის ფართი</t>
  </si>
  <si>
    <t xml:space="preserve">
Ramp forming</t>
  </si>
  <si>
    <t>პანდუსის ყალიბი</t>
  </si>
  <si>
    <t>Arrangement of monolithic R /concrete retaining wall with concrete C25/30</t>
  </si>
  <si>
    <t>მონოლითური რ/ბ საყრდენი კედლის მოწყობა ბეტონით C25/30</t>
  </si>
  <si>
    <t>Wall forming</t>
  </si>
  <si>
    <t>კედლის ყალიბი</t>
  </si>
  <si>
    <t>Ramp forming</t>
  </si>
  <si>
    <t>Parapet forming</t>
  </si>
  <si>
    <t>პარაპეტის ყალიბი</t>
  </si>
  <si>
    <t>B2 შენობის რკინა-ბეტონის სამუშაოების ხარჯთაღრიცხვა 
B2 Building R/concrete works quotation</t>
  </si>
  <si>
    <t>B2 შენობის აუზის სამშენებლო სამუშაოები
B2 Building R/concrete pool construction</t>
  </si>
  <si>
    <t>ROOF PROCESSING</t>
  </si>
  <si>
    <t>სახურავის მოწყობა</t>
  </si>
  <si>
    <t>Polymer-modified bitumen sheet membrane on adhesive layer</t>
  </si>
  <si>
    <t>პოლიმერით მოდიფიცირებული ბიტუმის მემბრანა წებოვან ფენაზე</t>
  </si>
  <si>
    <t>შრომის დანახარჯი</t>
  </si>
  <si>
    <t>m²</t>
  </si>
  <si>
    <t>Cationic bituminous thick layer coating</t>
  </si>
  <si>
    <t>პოლიმერით მოდიფიცირებული ბიტუმის საფარი</t>
  </si>
  <si>
    <t>liter</t>
  </si>
  <si>
    <t>Waterproofing</t>
  </si>
  <si>
    <t>ჰიდროიზოლაცია</t>
  </si>
  <si>
    <t>Waterproofing material</t>
  </si>
  <si>
    <t>ჰიდროსაიზოლაციო მასალა</t>
  </si>
  <si>
    <t>OSB board 18MM</t>
  </si>
  <si>
    <t>OSB ფილა 18მმ</t>
  </si>
  <si>
    <t>OSB tiles 18 mm</t>
  </si>
  <si>
    <t>OSB ფანერა 18 მმ</t>
  </si>
  <si>
    <t>Other material</t>
  </si>
  <si>
    <t>სხვა მასალა</t>
  </si>
  <si>
    <t>gel</t>
  </si>
  <si>
    <t>Wooden plank 50X50mm, treated with antiseptic</t>
  </si>
  <si>
    <t>ხის ძელაკი 50X50მმ, დამუშავება ანტისეპტიკური ხსნარით</t>
  </si>
  <si>
    <t>Diffusion membrane</t>
  </si>
  <si>
    <t>დიფუზიური მემბრანა</t>
  </si>
  <si>
    <t>Thermal insulation, high density rockwool board 150MM.</t>
  </si>
  <si>
    <t>თბოიზოლაცია, მაღალი სიმკვრივის ქვაბამბის ფილებით 150მმ</t>
  </si>
  <si>
    <t>Rockwool 15 cm</t>
  </si>
  <si>
    <t>ქვაბამბის  ფილები 15 სმ</t>
  </si>
  <si>
    <t>Steel Structure</t>
  </si>
  <si>
    <t>ფოლადის სტრუქტურა</t>
  </si>
  <si>
    <t>Steel pipe 200*100*5</t>
  </si>
  <si>
    <t>მილკვადრატი 200*100*5</t>
  </si>
  <si>
    <t>lin.m.</t>
  </si>
  <si>
    <t>proj.</t>
  </si>
  <si>
    <t>I beam IPE200</t>
  </si>
  <si>
    <t>ორტესებრი კოჭი IPE200</t>
  </si>
  <si>
    <t>Steel pipe 200*200*8</t>
  </si>
  <si>
    <t>მილკვადრატი 200*200*8</t>
  </si>
  <si>
    <t>Steel pipe 120*80*3</t>
  </si>
  <si>
    <t>მილკვადრატი 120*80*3</t>
  </si>
  <si>
    <t>Steel pipe 50*50*3</t>
  </si>
  <si>
    <t>მილკვადრატი 50*50*3</t>
  </si>
  <si>
    <t>Fastener details</t>
  </si>
  <si>
    <t>სამაგრი დეტალები</t>
  </si>
  <si>
    <t>Embadded parts</t>
  </si>
  <si>
    <t>ჩასატანებელი დეტალები</t>
  </si>
  <si>
    <t>Steel sheet 350*16</t>
  </si>
  <si>
    <t>ფურცლოვანი ფოლადი 350*16</t>
  </si>
  <si>
    <t>Steel sheet 250*16</t>
  </si>
  <si>
    <t>ფურცლოვანი ფოლადი 250*16</t>
  </si>
  <si>
    <t>Steel sheet 200*16</t>
  </si>
  <si>
    <t>ფურცლოვანი ფოლადი 200*16</t>
  </si>
  <si>
    <t>Materials transport cost</t>
  </si>
  <si>
    <t>მასალების სატრანსპორტო ხარჯები</t>
  </si>
  <si>
    <t>B2 შენობის ატრიუმის ლითონის და ჰიდროიზოლაციის სამუშაოები
B2 Building Steel and waterproofing works for Atrium</t>
  </si>
  <si>
    <t>MASONRY Blocks</t>
  </si>
  <si>
    <t>ბლოკის კედლები</t>
  </si>
  <si>
    <t>Arrangement of external walls of concrete blocks, with four-chamber masonry blocks, block size 390x290x190mm</t>
  </si>
  <si>
    <t>ბეტონის ბლოკის გარე კედლების მოწყობა, ოთხკამერიანი საკედლე ბლოკით, ბლოკის ზომა 390x290x190 მმ</t>
  </si>
  <si>
    <t>m³</t>
  </si>
  <si>
    <t>Sand-cement solution</t>
  </si>
  <si>
    <t>ქვიშა-ცემენტის ხსნარი</t>
  </si>
  <si>
    <t>Standard block with four chambers 39X29X19</t>
  </si>
  <si>
    <t>ბეტონის ბლოკი 39X29X19</t>
  </si>
  <si>
    <t>Rebar D=4 B500C</t>
  </si>
  <si>
    <t>არმატურა დ=4 B500C</t>
  </si>
  <si>
    <t>Block wall formwork steel 60*3</t>
  </si>
  <si>
    <t>ბლოკის კედლის ლითონის მოჩარჩოების ლითონი 60*3</t>
  </si>
  <si>
    <t>Other materials</t>
  </si>
  <si>
    <t xml:space="preserve">Arrangement Interior walls of concrete blocks, with four-chamber masonry blocks, block size 390x190x190mm, </t>
  </si>
  <si>
    <t>ბეტონის ბლოკის ინტერიერის კედლების მოწყობა ოთხკამერიანი საკედლე ბლოკით, ბლოკის ზომა 390x190x190 მმ</t>
  </si>
  <si>
    <t>Standard block with four chambers 39X19X19</t>
  </si>
  <si>
    <t>ბეტონის ბლოკი 39X19X19</t>
  </si>
  <si>
    <t xml:space="preserve">Arrangement communication shaft walls of concrete blocks, with four-chamber masonry blocks, block size 390x190x190mm, </t>
  </si>
  <si>
    <t>ბეტონის ბლოკის საკომუნიკაციო შახტების კედლების მოწყობა ოთხკამერიანი საკედლე ბლოკით, ბლოკის ზომა 390x190x190 მმ</t>
  </si>
  <si>
    <t xml:space="preserve">Arrangement Interior walls of concrete blocks, with tow-chamber masonry blocks, block size 390x90x190mm, </t>
  </si>
  <si>
    <t>ბეტონის ბლოკის ინტერიერის კედლების მოწყობა ორკამერიანი საკედლე ბლოკით, ბლოკის ზომა 390x90x190 მმ,</t>
  </si>
  <si>
    <t>Standard block with four chambers 39X9X19</t>
  </si>
  <si>
    <t>ბეტონის ბლოკი 39X9X19</t>
  </si>
  <si>
    <t>Arrangement of the railing walls of concrete blocks, with two-chamber masonry blocks, block size 390x100x190mm, wall haight 900 mm</t>
  </si>
  <si>
    <t>ბეტონის ბლოკის მოაჯირის კედლის მოწყობა სახურავზე ორკამერიანი საკედლე ბლოკით, ბლოკის ზომა 390x100x190 მმ, კედლის სიმაღლე 900მმ</t>
  </si>
  <si>
    <t>Concrete belt on the perimeter of the railing wall, height 200 mm, width 100 mm</t>
  </si>
  <si>
    <t>ბეტონის სარტყელი მოაჯირის კედლის პერიმეტრზე სიმაღლე 200 მმ, სისქე 100 მმ</t>
  </si>
  <si>
    <t>B2 შენობის ბლოკის კელდების სამუშაოები
B2 Building masonry blocks wall construction</t>
  </si>
  <si>
    <t>MASONRY CONCRETE BLOCK WALLS</t>
  </si>
  <si>
    <t>Decorative Pebbles 50 mm</t>
  </si>
  <si>
    <t>დეკორატიული კენჭი (არამსხვრევადი, საშუალოდ 50 მმ ზომის)</t>
  </si>
  <si>
    <t>Decorative Pebbles</t>
  </si>
  <si>
    <t>დეკორატიული კენჭი</t>
  </si>
  <si>
    <t>Geotextile</t>
  </si>
  <si>
    <t>გეოტექსტილი</t>
  </si>
  <si>
    <t>Geotextile 300 g/sq.m</t>
  </si>
  <si>
    <t>გეოტექსტილი 300 გ/კვ.მ-ზე</t>
  </si>
  <si>
    <t>2 Layers of Bitumen based waterproofing 5 mm</t>
  </si>
  <si>
    <t>2 ფენა რულონური ტიპის ჰიდროიზოლაცია ბიტუმის ბაზაზე 5 მმ</t>
  </si>
  <si>
    <t>Labor costs</t>
  </si>
  <si>
    <t xml:space="preserve">  I layer Uniflex</t>
  </si>
  <si>
    <t xml:space="preserve">  II layer Uniflex</t>
  </si>
  <si>
    <t>Primer</t>
  </si>
  <si>
    <t>ბითუმის მასტიკა ბენზინის ბაზაზე</t>
  </si>
  <si>
    <t>kg</t>
  </si>
  <si>
    <t>Gas</t>
  </si>
  <si>
    <t>Reinforced sand-cement screed 50 mm</t>
  </si>
  <si>
    <t xml:space="preserve"> ფოლადის ბადით არმირებული მოჭიმვა ქვიშა-ცემენტის ხსნარით 50 მმ</t>
  </si>
  <si>
    <t>Sand-cement solution m100</t>
  </si>
  <si>
    <t>ქვიშა-ცემენტის ხსნარი მ100</t>
  </si>
  <si>
    <t>Reinforcement</t>
  </si>
  <si>
    <t>ფოლადის ბადე</t>
  </si>
  <si>
    <t>Pumice for Slope (1.5%) min 30 mm</t>
  </si>
  <si>
    <t>პემზა ქანობისთვის (1.5%) მინ. 30 მმ</t>
  </si>
  <si>
    <t>labor cost</t>
  </si>
  <si>
    <t>Pumice</t>
  </si>
  <si>
    <t>პემზა</t>
  </si>
  <si>
    <t>Two layers High Density XPS Board 50 mm</t>
  </si>
  <si>
    <t>ორი ფენა მაღალი სიმკვრივის XPS ფილა, სისქე 50 მმ</t>
  </si>
  <si>
    <t xml:space="preserve">Arrangement of Vaporization layer </t>
  </si>
  <si>
    <t>ორთქლიზოლაციის ფენის მოწყობა</t>
  </si>
  <si>
    <t>XPS 5 + 5 cm (with high pressure)</t>
  </si>
  <si>
    <t>XPS 5+5 სმ (მაღალი დაპრესვით)</t>
  </si>
  <si>
    <t>Wire mesh 20X20</t>
  </si>
  <si>
    <t>მავთულბადე 20X20</t>
  </si>
  <si>
    <t>Galvanized metal protective plate for Parapet 0.7mm</t>
  </si>
  <si>
    <t>პარაპეტის კედლის გალვანიზირებული მეტალის დამცავი ფირფიტა 0.7 მმ</t>
  </si>
  <si>
    <t>Galvanazied metal protective plate 0.7mm</t>
  </si>
  <si>
    <t>გალვანიზირებული მეტალის დამცავი ფირფიტა 0.7მმ</t>
  </si>
  <si>
    <t>Processing roof console elements</t>
  </si>
  <si>
    <t>სახურავის კონსოლური ელემენტების მოწყობა</t>
  </si>
  <si>
    <t>Galvanized metal protective plate 0.7mm</t>
  </si>
  <si>
    <t>Arrangement parapets and communication shaft of concrete blocks, with four-chamber masonry blocks, block size 390x190x190mm</t>
  </si>
  <si>
    <t xml:space="preserve">ბეტონის ბლოკის პარაპეტის და საკომუნიკაციო შახტის კედლების მოწყობა ოთხკამერიანი საკედლე ბლოკით, ბლოკის ზომა 390x190x190 მმ </t>
  </si>
  <si>
    <t>Underground part of exterior walls</t>
  </si>
  <si>
    <t>გარე კედლების მიწისქვეშა ნაწილი</t>
  </si>
  <si>
    <t>Profiled protective membrane</t>
  </si>
  <si>
    <t>პროფილირებული დამცავი მემბრანა</t>
  </si>
  <si>
    <t>Strengthening Waterproofing Membrane layer</t>
  </si>
  <si>
    <t>გაძლიერებული ჰიდროსაიზოლაციო ფენა</t>
  </si>
  <si>
    <t>Strengthening Waterproofing Membrane</t>
  </si>
  <si>
    <t>Protective Membrane</t>
  </si>
  <si>
    <t>ჰიდროიზოლაციის დამცავი მემბრანა</t>
  </si>
  <si>
    <t>სადრენაჟე მემბრანა</t>
  </si>
  <si>
    <t>Bitumen Primer</t>
  </si>
  <si>
    <t>ბიტუმის პრაიმერი</t>
  </si>
  <si>
    <t>Aboveground part of exterior walls</t>
  </si>
  <si>
    <t>გარე კედლების მიწისზედა ნაწილი</t>
  </si>
  <si>
    <t>Therma Insulation with High Density rockwool Board 100 mm</t>
  </si>
  <si>
    <t>თბოიზოლაცია მაღალი სიმკვრივის ქვაბამბის ფილით, სისქე 100 მმ</t>
  </si>
  <si>
    <t>Rockwool 10 cm</t>
  </si>
  <si>
    <t>ქვაბამბის  ფილები 10 სმ</t>
  </si>
  <si>
    <t>Plastering with sand-cement mortar 20 მმ</t>
  </si>
  <si>
    <t>ლესვა ქვიშა-ცემენტის ხსნარით, სისქე 20 მმ</t>
  </si>
  <si>
    <t>ცემენტის ხსნარი</t>
  </si>
  <si>
    <t xml:space="preserve">Mesh  </t>
  </si>
  <si>
    <t xml:space="preserve">ბადე </t>
  </si>
  <si>
    <t>Other expenses</t>
  </si>
  <si>
    <t>სხვა ხარჯები</t>
  </si>
  <si>
    <t>EPDM Membrane</t>
  </si>
  <si>
    <t>EPDM მემბრანა</t>
  </si>
  <si>
    <t>B2 შენობის სახურავის მოწყობის სამუშაოები
B2 Building roofing construction works</t>
  </si>
  <si>
    <t>Arrangement of Vaporization layer 2mm</t>
  </si>
  <si>
    <t>ორთქლიზოლაციის ფენის მოწყობა 2მმ</t>
  </si>
  <si>
    <t>B2 შენობის ავინებისა და ტერასების ჰიდროსაიზოლაციო სამუშაოები
B2 Building waterproofing of balconies and terraces</t>
  </si>
  <si>
    <t>Arrange a layer of protective drainage membrane</t>
  </si>
  <si>
    <t>დამცავი სადრენაჟე მემბრანის ფენის მოწყობა</t>
  </si>
  <si>
    <t>Number of stairs</t>
  </si>
  <si>
    <t>Reinforcement steel bar Ø6 (20x20)</t>
  </si>
  <si>
    <t>ფოლადის ბადე  Ø6 (20x20)</t>
  </si>
  <si>
    <t>Screed for slope</t>
  </si>
  <si>
    <t>მოჭიმვა ქანობისთვის</t>
  </si>
  <si>
    <t>რკ/ბეტონის ღიობის ზღუდარის მოწყობა 10სმ-იან ბლოკზე  (ბეტონი B15)</t>
  </si>
  <si>
    <t>ბეტონი B15</t>
  </si>
  <si>
    <t>Rebar D=6 B500C</t>
  </si>
  <si>
    <t>არმატურა დ=6 B500C</t>
  </si>
  <si>
    <t>Concrete B15</t>
  </si>
  <si>
    <t>რკ/ბეტონის ღიობის ზღუდარის მოწყობა 20სმ-იან ბლოკზე  (ბეტონი B15)</t>
  </si>
  <si>
    <t>R/concrete opening barrier on 10cm block wall (concrete B15)</t>
  </si>
  <si>
    <t>R/concrete opening barrier on 20cm block wall (concrete B15)</t>
  </si>
  <si>
    <t>B2 შენობის საძირკვლის კედლების ჰიდროსაიზოლაციო სამუშაოები
B2 Building waterproofing of foundation walls</t>
  </si>
  <si>
    <t>ატრიუმის ლითონ-კონსტრუქციის (2 ფენა გრუნტი და შეღებილი) მონტაჟი</t>
  </si>
  <si>
    <t>Installation of  Atrium's steel structure (2 layer grounding and painted)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</si>
</sst>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409]* #,##0.00_);_([$$-409]* \(#,##0.00\);_([$$-409]* &quot;-&quot;??_);_(@_)"/>
    <numFmt numFmtId="165" formatCode="#,##0.000"/>
    <numFmt numFmtId="166" formatCode="#,##0.00\ [$₾-437]"/>
    <numFmt numFmtId="167" formatCode="[$GEL]\ #,##0.00"/>
    <numFmt numFmtId="168" formatCode="[$GEL]\ #,##0.000"/>
    <numFmt numFmtId="169" formatCode="_([$GEL]\ * #,##0.00_);_([$GEL]\ * \(#,##0.00\);_([$GEL]\ * &quot;-&quot;??_);_(@_)"/>
    <numFmt numFmtId="170" formatCode="_(* #,##0.0000_);_(* \(#,##0.0000\);_(* &quot;-&quot;??_);_(@_)"/>
    <numFmt numFmtId="171" formatCode="_(* #,##0.000_);_(* \(#,##0.000\);_(* &quot;-&quot;??_);_(@_)"/>
    <numFmt numFmtId="172" formatCode="0.0000"/>
  </numFmts>
  <fonts count="24">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b/>
      <sz val="12"/>
      <color theme="1"/>
      <name val="Calibri"/>
      <family val="2"/>
      <charset val="204"/>
      <scheme val="minor"/>
    </font>
    <font>
      <b/>
      <sz val="11"/>
      <color theme="1"/>
      <name val="Calibri"/>
      <family val="2"/>
      <charset val="204"/>
      <scheme val="minor"/>
    </font>
    <font>
      <b/>
      <sz val="11"/>
      <color rgb="FF202124"/>
      <name val="Inherit"/>
    </font>
    <font>
      <b/>
      <vertAlign val="superscript"/>
      <sz val="14"/>
      <color theme="1"/>
      <name val="Calibri"/>
      <family val="2"/>
      <scheme val="minor"/>
    </font>
    <font>
      <b/>
      <sz val="11"/>
      <color theme="1"/>
      <name val="Calibri"/>
      <family val="1"/>
      <charset val="204"/>
      <scheme val="minor"/>
    </font>
    <font>
      <sz val="11"/>
      <color rgb="FF202124"/>
      <name val="Inherit"/>
    </font>
    <font>
      <sz val="11"/>
      <color theme="1"/>
      <name val="Calibri"/>
      <family val="1"/>
      <charset val="204"/>
      <scheme val="minor"/>
    </font>
    <font>
      <b/>
      <sz val="11"/>
      <color rgb="FF202124"/>
      <name val="Arial"/>
      <family val="2"/>
    </font>
    <font>
      <sz val="11"/>
      <color rgb="FF202124"/>
      <name val="Arial"/>
      <family val="2"/>
    </font>
    <font>
      <b/>
      <sz val="14"/>
      <color rgb="FF202124"/>
      <name val="Inherit"/>
    </font>
    <font>
      <sz val="11"/>
      <name val="Calibri"/>
      <family val="1"/>
      <charset val="204"/>
      <scheme val="minor"/>
    </font>
    <font>
      <sz val="11"/>
      <color theme="1"/>
      <name val="Calibri"/>
      <family val="2"/>
      <charset val="204"/>
      <scheme val="minor"/>
    </font>
    <font>
      <sz val="11"/>
      <name val="Calibri"/>
      <family val="2"/>
      <scheme val="minor"/>
    </font>
    <font>
      <sz val="11"/>
      <color rgb="FF000000"/>
      <name val="Calibri"/>
      <family val="2"/>
      <charset val="204"/>
    </font>
    <font>
      <sz val="11"/>
      <color rgb="FF000000"/>
      <name val="Calibri"/>
      <family val="2"/>
      <charset val="204"/>
    </font>
    <font>
      <b/>
      <sz val="9"/>
      <color rgb="FF000000"/>
      <name val="Calibri"/>
      <family val="2"/>
      <charset val="204"/>
    </font>
    <font>
      <sz val="9"/>
      <color rgb="FF000000"/>
      <name val="Calibri"/>
      <family val="2"/>
      <charset val="204"/>
    </font>
    <font>
      <vertAlign val="superscript"/>
      <sz val="14"/>
      <color theme="1"/>
      <name val="Calibri"/>
      <family val="2"/>
      <scheme val="minor"/>
    </font>
    <font>
      <b/>
      <sz val="12"/>
      <name val="Calibri"/>
      <family val="2"/>
      <scheme val="minor"/>
    </font>
    <font>
      <b/>
      <sz val="11"/>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164" fontId="1" fillId="0" borderId="0"/>
    <xf numFmtId="0" fontId="17" fillId="0" borderId="0"/>
    <xf numFmtId="0" fontId="18" fillId="0" borderId="0"/>
    <xf numFmtId="43" fontId="1" fillId="0" borderId="0" applyFont="0" applyFill="0" applyBorder="0" applyAlignment="0" applyProtection="0"/>
  </cellStyleXfs>
  <cellXfs count="223">
    <xf numFmtId="0" fontId="0" fillId="0" borderId="0" xfId="0"/>
    <xf numFmtId="166" fontId="0" fillId="0" borderId="5" xfId="0" applyNumberFormat="1" applyBorder="1" applyAlignment="1" applyProtection="1">
      <alignment horizontal="center" vertical="center"/>
      <protection locked="0"/>
    </xf>
    <xf numFmtId="9" fontId="5" fillId="0" borderId="5" xfId="1" applyFont="1" applyBorder="1" applyAlignment="1" applyProtection="1">
      <alignment horizontal="center" vertical="center"/>
      <protection locked="0"/>
    </xf>
    <xf numFmtId="167" fontId="0" fillId="4" borderId="5" xfId="0" applyNumberFormat="1" applyFill="1" applyBorder="1" applyAlignment="1" applyProtection="1">
      <alignment horizontal="center" vertical="center"/>
      <protection locked="0"/>
    </xf>
    <xf numFmtId="167" fontId="0" fillId="0" borderId="5" xfId="0" applyNumberFormat="1" applyBorder="1" applyAlignment="1" applyProtection="1">
      <alignment horizontal="center" vertical="center"/>
      <protection locked="0"/>
    </xf>
    <xf numFmtId="167" fontId="0" fillId="4" borderId="5" xfId="0" applyNumberFormat="1" applyFont="1" applyFill="1" applyBorder="1" applyAlignment="1" applyProtection="1">
      <alignment horizontal="center" vertical="center"/>
      <protection locked="0"/>
    </xf>
    <xf numFmtId="167" fontId="0" fillId="5" borderId="5" xfId="0" applyNumberFormat="1" applyFill="1" applyBorder="1" applyAlignment="1" applyProtection="1">
      <alignment horizontal="center" vertical="center"/>
      <protection locked="0"/>
    </xf>
    <xf numFmtId="167" fontId="0" fillId="5" borderId="5" xfId="0" applyNumberFormat="1" applyFont="1" applyFill="1" applyBorder="1" applyAlignment="1" applyProtection="1">
      <alignment horizontal="center" vertical="center"/>
      <protection locked="0"/>
    </xf>
    <xf numFmtId="169" fontId="0" fillId="0" borderId="5" xfId="0" applyNumberFormat="1" applyBorder="1" applyAlignment="1" applyProtection="1">
      <alignment horizontal="center" vertical="center"/>
      <protection locked="0"/>
    </xf>
    <xf numFmtId="164" fontId="3" fillId="0" borderId="0" xfId="2" applyFont="1" applyAlignment="1" applyProtection="1">
      <alignment vertical="center" wrapText="1"/>
      <protection locked="0"/>
    </xf>
    <xf numFmtId="164" fontId="1" fillId="0" borderId="0" xfId="2" applyProtection="1">
      <protection locked="0"/>
    </xf>
    <xf numFmtId="0" fontId="2" fillId="0" borderId="0" xfId="0" applyFont="1" applyAlignment="1" applyProtection="1">
      <alignment horizontal="center" vertical="center"/>
      <protection locked="0"/>
    </xf>
    <xf numFmtId="0" fontId="0" fillId="0" borderId="0" xfId="0" applyProtection="1">
      <protection locked="0"/>
    </xf>
    <xf numFmtId="0" fontId="5" fillId="0" borderId="0" xfId="0" applyFont="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wrapText="1"/>
      <protection locked="0"/>
    </xf>
    <xf numFmtId="166" fontId="2" fillId="0" borderId="5" xfId="0" applyNumberFormat="1" applyFont="1" applyBorder="1" applyAlignment="1" applyProtection="1">
      <alignment horizontal="center" vertical="center"/>
      <protection locked="0"/>
    </xf>
    <xf numFmtId="4" fontId="0" fillId="0" borderId="5" xfId="0" applyNumberFormat="1" applyBorder="1" applyAlignment="1" applyProtection="1">
      <alignment horizontal="center" vertical="center"/>
      <protection locked="0"/>
    </xf>
    <xf numFmtId="166" fontId="0" fillId="0" borderId="6"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169" fontId="15" fillId="0" borderId="5" xfId="5" applyNumberFormat="1" applyFont="1" applyBorder="1" applyAlignment="1" applyProtection="1">
      <alignment horizontal="center" vertical="center"/>
      <protection locked="0"/>
    </xf>
    <xf numFmtId="0" fontId="0" fillId="0" borderId="5" xfId="0" applyBorder="1" applyProtection="1">
      <protection locked="0"/>
    </xf>
    <xf numFmtId="43" fontId="0" fillId="0" borderId="5" xfId="5" applyFont="1" applyBorder="1" applyAlignment="1" applyProtection="1">
      <alignment horizontal="center" vertical="center"/>
      <protection locked="0"/>
    </xf>
    <xf numFmtId="169" fontId="15" fillId="0" borderId="5" xfId="5" applyNumberFormat="1" applyFont="1" applyBorder="1" applyProtection="1">
      <protection locked="0"/>
    </xf>
    <xf numFmtId="0" fontId="0" fillId="0" borderId="5" xfId="0" applyBorder="1" applyAlignment="1" applyProtection="1">
      <alignment horizontal="center" vertical="center"/>
      <protection locked="0"/>
    </xf>
    <xf numFmtId="169" fontId="5" fillId="0" borderId="5" xfId="5" applyNumberFormat="1" applyFont="1" applyBorder="1" applyAlignment="1" applyProtection="1">
      <alignment horizontal="center" vertical="center"/>
      <protection locked="0"/>
    </xf>
    <xf numFmtId="0" fontId="5" fillId="0" borderId="5" xfId="0" applyFont="1" applyBorder="1" applyProtection="1">
      <protection locked="0"/>
    </xf>
    <xf numFmtId="0" fontId="15" fillId="0" borderId="5" xfId="0" applyFont="1" applyBorder="1" applyAlignment="1" applyProtection="1">
      <alignment horizontal="center" vertical="center"/>
      <protection locked="0"/>
    </xf>
    <xf numFmtId="169" fontId="15" fillId="0" borderId="5" xfId="0" applyNumberFormat="1" applyFont="1" applyBorder="1" applyProtection="1">
      <protection locked="0"/>
    </xf>
    <xf numFmtId="0" fontId="5" fillId="0" borderId="0" xfId="0" applyFont="1" applyProtection="1">
      <protection locked="0"/>
    </xf>
    <xf numFmtId="169" fontId="0" fillId="0" borderId="6" xfId="0" applyNumberForma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166" fontId="15" fillId="0" borderId="5" xfId="0" applyNumberFormat="1" applyFont="1" applyBorder="1" applyAlignment="1" applyProtection="1">
      <alignment horizontal="center" vertical="center"/>
      <protection locked="0"/>
    </xf>
    <xf numFmtId="4" fontId="15" fillId="0" borderId="5" xfId="0" applyNumberFormat="1" applyFont="1" applyBorder="1" applyAlignment="1" applyProtection="1">
      <alignment horizontal="center" vertical="center"/>
      <protection locked="0"/>
    </xf>
    <xf numFmtId="169" fontId="15" fillId="0" borderId="5" xfId="0" applyNumberFormat="1" applyFont="1" applyBorder="1" applyAlignment="1" applyProtection="1">
      <alignment horizontal="center" vertical="center"/>
      <protection locked="0"/>
    </xf>
    <xf numFmtId="0" fontId="2" fillId="0" borderId="5" xfId="0" applyFont="1" applyBorder="1" applyAlignment="1" applyProtection="1">
      <alignment horizontal="center" vertical="center" wrapText="1"/>
      <protection locked="0"/>
    </xf>
    <xf numFmtId="9" fontId="5" fillId="0" borderId="5" xfId="0" applyNumberFormat="1" applyFont="1" applyBorder="1" applyAlignment="1" applyProtection="1">
      <alignment horizontal="center" vertical="center"/>
      <protection locked="0"/>
    </xf>
    <xf numFmtId="169" fontId="5" fillId="0" borderId="6" xfId="0" applyNumberFormat="1" applyFont="1"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169" fontId="5" fillId="6" borderId="6" xfId="0" applyNumberFormat="1" applyFont="1" applyFill="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5" fillId="0" borderId="8" xfId="0" applyFont="1" applyBorder="1" applyAlignment="1" applyProtection="1">
      <alignment horizontal="center" vertical="center" wrapText="1"/>
      <protection locked="0"/>
    </xf>
    <xf numFmtId="166" fontId="0" fillId="0" borderId="8" xfId="0" applyNumberFormat="1" applyBorder="1" applyAlignment="1" applyProtection="1">
      <alignment horizontal="center" vertical="center"/>
      <protection locked="0"/>
    </xf>
    <xf numFmtId="169" fontId="0" fillId="0" borderId="8" xfId="0" applyNumberFormat="1" applyBorder="1" applyAlignment="1" applyProtection="1">
      <alignment horizontal="center" vertical="center"/>
      <protection locked="0"/>
    </xf>
    <xf numFmtId="169" fontId="4" fillId="0" borderId="9" xfId="0" applyNumberFormat="1" applyFont="1" applyBorder="1" applyAlignment="1" applyProtection="1">
      <alignment horizontal="center" vertical="center"/>
      <protection locked="0"/>
    </xf>
    <xf numFmtId="43" fontId="5" fillId="0" borderId="5" xfId="5" applyFont="1" applyBorder="1" applyAlignment="1" applyProtection="1">
      <alignment horizontal="center" vertical="center"/>
    </xf>
    <xf numFmtId="43" fontId="0" fillId="0" borderId="5" xfId="5" applyFont="1" applyBorder="1" applyProtection="1"/>
    <xf numFmtId="43" fontId="0" fillId="0" borderId="5" xfId="5" applyFont="1" applyBorder="1" applyAlignment="1" applyProtection="1">
      <alignment horizontal="center" vertical="center"/>
    </xf>
    <xf numFmtId="0" fontId="5" fillId="0" borderId="5" xfId="0" applyFont="1" applyBorder="1" applyAlignment="1" applyProtection="1">
      <alignment horizontal="center" vertical="center"/>
    </xf>
    <xf numFmtId="43" fontId="5" fillId="0" borderId="5" xfId="0" applyNumberFormat="1" applyFont="1" applyBorder="1" applyAlignment="1" applyProtection="1">
      <alignment horizontal="center" vertical="center"/>
    </xf>
    <xf numFmtId="0" fontId="15" fillId="0" borderId="5" xfId="0" applyFont="1" applyBorder="1" applyProtection="1"/>
    <xf numFmtId="0" fontId="15" fillId="0" borderId="5" xfId="0" applyFont="1" applyBorder="1" applyAlignment="1" applyProtection="1">
      <alignment horizontal="center" vertical="center"/>
    </xf>
    <xf numFmtId="4" fontId="0" fillId="0" borderId="5" xfId="0" applyNumberFormat="1" applyBorder="1" applyAlignment="1" applyProtection="1">
      <alignment horizontal="center" vertical="center"/>
    </xf>
    <xf numFmtId="164" fontId="3" fillId="0" borderId="0" xfId="2" applyFont="1" applyAlignment="1" applyProtection="1">
      <alignment horizontal="center" vertical="center" wrapText="1"/>
      <protection locked="0"/>
    </xf>
    <xf numFmtId="169" fontId="5" fillId="0" borderId="5" xfId="0" applyNumberFormat="1" applyFont="1" applyBorder="1" applyProtection="1">
      <protection locked="0"/>
    </xf>
    <xf numFmtId="43" fontId="5" fillId="0" borderId="5" xfId="5" applyFont="1" applyBorder="1" applyProtection="1"/>
    <xf numFmtId="43" fontId="15" fillId="0" borderId="5" xfId="5" applyFont="1" applyBorder="1" applyProtection="1"/>
    <xf numFmtId="43" fontId="15" fillId="0" borderId="5" xfId="5" applyFont="1" applyBorder="1" applyAlignment="1" applyProtection="1">
      <alignment horizontal="center" vertical="center"/>
    </xf>
    <xf numFmtId="43" fontId="15" fillId="0" borderId="5" xfId="5" applyFont="1" applyFill="1" applyBorder="1" applyAlignment="1" applyProtection="1">
      <alignment horizontal="center" vertical="center"/>
    </xf>
    <xf numFmtId="0" fontId="5" fillId="2" borderId="4"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0" fillId="0" borderId="5" xfId="0" applyFill="1" applyBorder="1" applyProtection="1">
      <protection locked="0"/>
    </xf>
    <xf numFmtId="169" fontId="15" fillId="0" borderId="5" xfId="5" applyNumberFormat="1" applyFont="1" applyFill="1" applyBorder="1" applyProtection="1">
      <protection locked="0"/>
    </xf>
    <xf numFmtId="0" fontId="0" fillId="0" borderId="0" xfId="0" applyFill="1" applyProtection="1">
      <protection locked="0"/>
    </xf>
    <xf numFmtId="43" fontId="5" fillId="2" borderId="5" xfId="5" applyFont="1" applyFill="1" applyBorder="1" applyAlignment="1" applyProtection="1">
      <alignment horizontal="center" vertical="center"/>
      <protection locked="0"/>
    </xf>
    <xf numFmtId="169" fontId="15" fillId="2" borderId="5" xfId="5" applyNumberFormat="1" applyFont="1" applyFill="1" applyBorder="1" applyAlignment="1" applyProtection="1">
      <alignment horizontal="center" vertical="center"/>
      <protection locked="0"/>
    </xf>
    <xf numFmtId="169" fontId="15" fillId="2" borderId="6" xfId="5" applyNumberFormat="1" applyFont="1" applyFill="1" applyBorder="1" applyAlignment="1" applyProtection="1">
      <alignment horizontal="center" vertical="center"/>
      <protection locked="0"/>
    </xf>
    <xf numFmtId="0" fontId="15" fillId="0" borderId="0" xfId="0" applyFont="1" applyAlignment="1" applyProtection="1">
      <alignment horizontal="center" vertical="center"/>
      <protection locked="0"/>
    </xf>
    <xf numFmtId="169" fontId="0" fillId="0" borderId="5" xfId="5" applyNumberFormat="1" applyFont="1" applyBorder="1" applyAlignment="1" applyProtection="1">
      <alignment horizontal="center" vertical="center"/>
      <protection locked="0"/>
    </xf>
    <xf numFmtId="0" fontId="0" fillId="0" borderId="0" xfId="0" applyAlignment="1" applyProtection="1">
      <alignment horizontal="center"/>
      <protection locked="0"/>
    </xf>
    <xf numFmtId="43" fontId="15" fillId="2" borderId="5" xfId="5" applyFont="1" applyFill="1" applyBorder="1" applyAlignment="1" applyProtection="1">
      <alignment horizontal="center" vertical="center"/>
      <protection locked="0"/>
    </xf>
    <xf numFmtId="170" fontId="15" fillId="0" borderId="5" xfId="5" applyNumberFormat="1" applyFont="1" applyBorder="1" applyProtection="1"/>
    <xf numFmtId="171" fontId="15" fillId="0" borderId="5" xfId="5" applyNumberFormat="1" applyFont="1" applyBorder="1" applyAlignment="1" applyProtection="1">
      <alignment horizontal="center" vertical="center"/>
    </xf>
    <xf numFmtId="4" fontId="15" fillId="0" borderId="5" xfId="0" applyNumberFormat="1" applyFont="1" applyBorder="1" applyAlignment="1" applyProtection="1">
      <alignment horizontal="center" vertical="center"/>
    </xf>
    <xf numFmtId="43" fontId="15" fillId="2" borderId="5" xfId="5" applyFont="1" applyFill="1" applyBorder="1" applyAlignment="1" applyProtection="1">
      <alignment horizontal="center" vertical="center"/>
    </xf>
    <xf numFmtId="43" fontId="15" fillId="0" borderId="5" xfId="0" applyNumberFormat="1" applyFont="1" applyBorder="1" applyAlignment="1" applyProtection="1">
      <alignment horizontal="center" vertical="center"/>
    </xf>
    <xf numFmtId="169" fontId="0" fillId="0" borderId="5" xfId="0" applyNumberFormat="1" applyBorder="1" applyProtection="1">
      <protection locked="0"/>
    </xf>
    <xf numFmtId="170" fontId="0" fillId="0" borderId="5" xfId="5" applyNumberFormat="1" applyFont="1" applyBorder="1" applyProtection="1"/>
    <xf numFmtId="171" fontId="0" fillId="0" borderId="5" xfId="5" applyNumberFormat="1" applyFont="1" applyBorder="1" applyAlignment="1" applyProtection="1">
      <alignment horizontal="center" vertical="center"/>
    </xf>
    <xf numFmtId="0" fontId="0" fillId="0" borderId="5" xfId="0" applyBorder="1" applyProtection="1"/>
    <xf numFmtId="43" fontId="0" fillId="0" borderId="5" xfId="0" applyNumberFormat="1" applyBorder="1" applyProtection="1"/>
    <xf numFmtId="172" fontId="0" fillId="0" borderId="5" xfId="0" applyNumberFormat="1" applyBorder="1" applyProtection="1"/>
    <xf numFmtId="43" fontId="15" fillId="2" borderId="6" xfId="5" applyFont="1" applyFill="1" applyBorder="1" applyAlignment="1" applyProtection="1">
      <alignment horizontal="center" vertical="center"/>
      <protection locked="0"/>
    </xf>
    <xf numFmtId="169" fontId="5" fillId="0" borderId="5" xfId="0" applyNumberFormat="1" applyFont="1" applyBorder="1" applyAlignment="1" applyProtection="1">
      <alignment horizontal="center" vertical="center"/>
      <protection locked="0"/>
    </xf>
    <xf numFmtId="43" fontId="5" fillId="2" borderId="5" xfId="5" applyFont="1" applyFill="1" applyBorder="1" applyAlignment="1" applyProtection="1">
      <alignment horizontal="center" vertical="center"/>
    </xf>
    <xf numFmtId="0" fontId="5" fillId="2" borderId="6"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167" fontId="0" fillId="4" borderId="6" xfId="0" applyNumberFormat="1" applyFill="1" applyBorder="1" applyAlignment="1" applyProtection="1">
      <alignment horizontal="center" vertical="center"/>
      <protection locked="0"/>
    </xf>
    <xf numFmtId="167" fontId="5" fillId="0" borderId="6" xfId="0" applyNumberFormat="1" applyFont="1" applyBorder="1" applyAlignment="1" applyProtection="1">
      <alignment horizontal="center" vertical="center"/>
      <protection locked="0"/>
    </xf>
    <xf numFmtId="167" fontId="0" fillId="0" borderId="6" xfId="0" applyNumberFormat="1" applyBorder="1" applyAlignment="1" applyProtection="1">
      <alignment horizontal="center" vertical="center"/>
      <protection locked="0"/>
    </xf>
    <xf numFmtId="167" fontId="0" fillId="0" borderId="8" xfId="0" applyNumberFormat="1" applyBorder="1" applyAlignment="1" applyProtection="1">
      <alignment horizontal="center" vertical="center"/>
      <protection locked="0"/>
    </xf>
    <xf numFmtId="167" fontId="4" fillId="0" borderId="9" xfId="0" applyNumberFormat="1" applyFont="1" applyBorder="1" applyAlignment="1" applyProtection="1">
      <alignment horizontal="center" vertical="center"/>
      <protection locked="0"/>
    </xf>
    <xf numFmtId="4" fontId="0" fillId="4" borderId="5" xfId="0" applyNumberFormat="1" applyFill="1" applyBorder="1" applyAlignment="1" applyProtection="1">
      <alignment horizontal="center" vertical="center"/>
    </xf>
    <xf numFmtId="4" fontId="5" fillId="4" borderId="5" xfId="0" applyNumberFormat="1" applyFont="1" applyFill="1" applyBorder="1" applyAlignment="1" applyProtection="1">
      <alignment horizontal="center" vertical="center"/>
    </xf>
    <xf numFmtId="165" fontId="0" fillId="4" borderId="5" xfId="0" applyNumberFormat="1" applyFill="1" applyBorder="1" applyAlignment="1" applyProtection="1">
      <alignment horizontal="center" vertical="center"/>
    </xf>
    <xf numFmtId="165" fontId="0" fillId="4" borderId="5" xfId="0" applyNumberFormat="1" applyFill="1" applyBorder="1" applyAlignment="1" applyProtection="1">
      <alignment horizontal="center" vertical="center" wrapText="1"/>
    </xf>
    <xf numFmtId="0" fontId="4" fillId="0" borderId="0" xfId="0" applyFont="1" applyAlignment="1" applyProtection="1">
      <alignment vertical="center"/>
      <protection locked="0"/>
    </xf>
    <xf numFmtId="0" fontId="22" fillId="0" borderId="0" xfId="0" applyFont="1" applyAlignment="1" applyProtection="1">
      <alignment vertical="center"/>
      <protection locked="0"/>
    </xf>
    <xf numFmtId="0" fontId="23"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167" fontId="0" fillId="4" borderId="6"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167" fontId="0" fillId="5" borderId="6" xfId="0" applyNumberFormat="1"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167" fontId="0" fillId="5" borderId="6" xfId="0" applyNumberFormat="1" applyFont="1" applyFill="1" applyBorder="1" applyAlignment="1" applyProtection="1">
      <alignment horizontal="center" vertical="center"/>
      <protection locked="0"/>
    </xf>
    <xf numFmtId="167" fontId="5" fillId="2" borderId="5" xfId="0" applyNumberFormat="1" applyFont="1" applyFill="1" applyBorder="1" applyAlignment="1" applyProtection="1">
      <alignment horizontal="center" vertical="center"/>
      <protection locked="0"/>
    </xf>
    <xf numFmtId="167" fontId="5" fillId="2" borderId="6" xfId="0" applyNumberFormat="1" applyFont="1" applyFill="1" applyBorder="1" applyAlignment="1" applyProtection="1">
      <alignment horizontal="center" vertical="center"/>
      <protection locked="0"/>
    </xf>
    <xf numFmtId="168" fontId="0" fillId="5" borderId="5" xfId="0" applyNumberFormat="1" applyFill="1" applyBorder="1" applyAlignment="1" applyProtection="1">
      <alignment horizontal="center" vertical="center"/>
      <protection locked="0"/>
    </xf>
    <xf numFmtId="0" fontId="2" fillId="0" borderId="5" xfId="0" applyFont="1" applyFill="1" applyBorder="1" applyAlignment="1" applyProtection="1">
      <alignment horizontal="center" vertical="center" wrapText="1"/>
      <protection locked="0"/>
    </xf>
    <xf numFmtId="166" fontId="0" fillId="0" borderId="5" xfId="0" applyNumberFormat="1" applyFill="1" applyBorder="1" applyAlignment="1" applyProtection="1">
      <alignment horizontal="center" vertical="center"/>
      <protection locked="0"/>
    </xf>
    <xf numFmtId="167" fontId="0" fillId="0" borderId="5" xfId="0" applyNumberFormat="1" applyFill="1" applyBorder="1" applyAlignment="1" applyProtection="1">
      <alignment horizontal="center" vertical="center"/>
      <protection locked="0"/>
    </xf>
    <xf numFmtId="167" fontId="5" fillId="0" borderId="6" xfId="0" applyNumberFormat="1"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Alignment="1" applyProtection="1">
      <alignment wrapText="1"/>
      <protection locked="0"/>
    </xf>
    <xf numFmtId="0" fontId="16" fillId="0" borderId="0" xfId="0" applyFont="1" applyProtection="1">
      <protection locked="0"/>
    </xf>
    <xf numFmtId="166" fontId="16" fillId="4" borderId="5" xfId="0" applyNumberFormat="1" applyFont="1" applyFill="1" applyBorder="1" applyAlignment="1" applyProtection="1">
      <alignment horizontal="center" vertical="center"/>
    </xf>
    <xf numFmtId="4" fontId="23" fillId="4" borderId="5" xfId="0" applyNumberFormat="1" applyFont="1" applyFill="1" applyBorder="1" applyAlignment="1" applyProtection="1">
      <alignment horizontal="center" vertical="center"/>
    </xf>
    <xf numFmtId="4" fontId="16" fillId="4" borderId="5" xfId="0" applyNumberFormat="1" applyFont="1" applyFill="1" applyBorder="1" applyAlignment="1" applyProtection="1">
      <alignment horizontal="center" vertical="center"/>
    </xf>
    <xf numFmtId="4" fontId="16" fillId="0" borderId="5" xfId="0" applyNumberFormat="1" applyFont="1" applyBorder="1" applyAlignment="1" applyProtection="1">
      <alignment horizontal="center" vertical="center"/>
    </xf>
    <xf numFmtId="4" fontId="23" fillId="0" borderId="5" xfId="0" applyNumberFormat="1" applyFont="1" applyBorder="1" applyAlignment="1" applyProtection="1">
      <alignment horizontal="center" vertical="center"/>
    </xf>
    <xf numFmtId="165" fontId="16" fillId="4" borderId="5" xfId="0" applyNumberFormat="1" applyFont="1" applyFill="1" applyBorder="1" applyAlignment="1" applyProtection="1">
      <alignment horizontal="center" vertical="center"/>
    </xf>
    <xf numFmtId="165" fontId="16" fillId="4" borderId="5" xfId="0" applyNumberFormat="1" applyFont="1" applyFill="1" applyBorder="1" applyAlignment="1" applyProtection="1">
      <alignment horizontal="center" vertical="center" wrapText="1"/>
    </xf>
    <xf numFmtId="166" fontId="16" fillId="5" borderId="5" xfId="0" applyNumberFormat="1" applyFont="1" applyFill="1" applyBorder="1" applyAlignment="1" applyProtection="1">
      <alignment horizontal="center" vertical="center"/>
    </xf>
    <xf numFmtId="4" fontId="23" fillId="5" borderId="5" xfId="0" applyNumberFormat="1" applyFont="1" applyFill="1" applyBorder="1" applyAlignment="1" applyProtection="1">
      <alignment horizontal="center" vertical="center"/>
    </xf>
    <xf numFmtId="4" fontId="16" fillId="5" borderId="5" xfId="0" applyNumberFormat="1" applyFont="1" applyFill="1" applyBorder="1" applyAlignment="1" applyProtection="1">
      <alignment horizontal="center" vertical="center"/>
    </xf>
    <xf numFmtId="165" fontId="16" fillId="5" borderId="5" xfId="0" applyNumberFormat="1" applyFont="1" applyFill="1" applyBorder="1" applyAlignment="1" applyProtection="1">
      <alignment horizontal="center" vertical="center"/>
    </xf>
    <xf numFmtId="165" fontId="16" fillId="5" borderId="5" xfId="0" applyNumberFormat="1" applyFont="1" applyFill="1" applyBorder="1" applyAlignment="1" applyProtection="1">
      <alignment horizontal="center" vertical="center" wrapText="1"/>
    </xf>
    <xf numFmtId="0" fontId="23" fillId="2" borderId="5" xfId="0" applyFont="1" applyFill="1" applyBorder="1" applyAlignment="1" applyProtection="1">
      <alignment horizontal="center" vertical="center"/>
    </xf>
    <xf numFmtId="0" fontId="16" fillId="5" borderId="0" xfId="0" applyFont="1" applyFill="1" applyAlignment="1" applyProtection="1">
      <alignment horizontal="center" vertical="center"/>
    </xf>
    <xf numFmtId="169" fontId="15" fillId="8" borderId="5" xfId="5" applyNumberFormat="1" applyFont="1" applyFill="1" applyBorder="1" applyProtection="1">
      <protection locked="0"/>
    </xf>
    <xf numFmtId="43" fontId="15" fillId="8" borderId="5" xfId="5" applyFont="1" applyFill="1" applyBorder="1" applyProtection="1"/>
    <xf numFmtId="43" fontId="0" fillId="8" borderId="5" xfId="5" applyFont="1" applyFill="1" applyBorder="1" applyProtection="1"/>
    <xf numFmtId="43" fontId="0" fillId="8" borderId="5" xfId="5"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6" fillId="4" borderId="5" xfId="0" applyFont="1" applyFill="1" applyBorder="1" applyAlignment="1" applyProtection="1">
      <alignment horizontal="center" vertical="center"/>
    </xf>
    <xf numFmtId="4" fontId="5" fillId="4" borderId="5" xfId="0" applyNumberFormat="1" applyFont="1" applyFill="1" applyBorder="1" applyAlignment="1" applyProtection="1">
      <alignment horizontal="center" vertical="center" wrapText="1"/>
    </xf>
    <xf numFmtId="166" fontId="7" fillId="4" borderId="5" xfId="0" applyNumberFormat="1"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0" fillId="4" borderId="5" xfId="0"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0" fillId="4" borderId="5" xfId="0" applyFill="1" applyBorder="1" applyAlignment="1" applyProtection="1">
      <alignment horizontal="center" vertical="center"/>
    </xf>
    <xf numFmtId="0" fontId="6" fillId="0" borderId="5" xfId="0" applyFont="1" applyBorder="1" applyAlignment="1" applyProtection="1">
      <alignment horizontal="center" vertical="center"/>
    </xf>
    <xf numFmtId="0" fontId="8" fillId="0" borderId="5" xfId="0" applyFont="1" applyBorder="1" applyAlignment="1" applyProtection="1">
      <alignment horizontal="center" vertical="center" wrapText="1"/>
    </xf>
    <xf numFmtId="166" fontId="2" fillId="0" borderId="5" xfId="0" applyNumberFormat="1" applyFont="1" applyBorder="1" applyAlignment="1" applyProtection="1">
      <alignment horizontal="center" vertical="center"/>
    </xf>
    <xf numFmtId="0" fontId="9" fillId="0" borderId="5" xfId="0" applyFont="1" applyBorder="1" applyAlignment="1" applyProtection="1">
      <alignment horizontal="center" vertical="center"/>
    </xf>
    <xf numFmtId="0" fontId="10" fillId="0" borderId="5" xfId="0" applyFont="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166" fontId="2" fillId="4" borderId="5" xfId="0" applyNumberFormat="1" applyFont="1" applyFill="1" applyBorder="1" applyAlignment="1" applyProtection="1">
      <alignment horizontal="center" vertical="center"/>
    </xf>
    <xf numFmtId="0" fontId="14" fillId="4" borderId="5" xfId="0" applyFont="1" applyFill="1" applyBorder="1" applyAlignment="1" applyProtection="1">
      <alignment horizontal="center" vertical="center" wrapText="1"/>
    </xf>
    <xf numFmtId="4" fontId="0" fillId="4" borderId="5" xfId="0" applyNumberFormat="1" applyFill="1" applyBorder="1" applyAlignment="1" applyProtection="1">
      <alignment horizontal="center" vertical="center" wrapText="1"/>
    </xf>
    <xf numFmtId="4" fontId="2" fillId="4" borderId="5" xfId="0" applyNumberFormat="1" applyFont="1" applyFill="1" applyBorder="1" applyAlignment="1" applyProtection="1">
      <alignment horizontal="center" vertical="center" wrapText="1"/>
    </xf>
    <xf numFmtId="0" fontId="9" fillId="4" borderId="5" xfId="0" applyFont="1" applyFill="1" applyBorder="1" applyAlignment="1" applyProtection="1">
      <alignment horizontal="center" vertical="center"/>
    </xf>
    <xf numFmtId="0" fontId="12" fillId="4" borderId="5"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8" fillId="3" borderId="5"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xf>
    <xf numFmtId="4" fontId="5" fillId="5" borderId="5" xfId="0" applyNumberFormat="1" applyFont="1" applyFill="1" applyBorder="1" applyAlignment="1" applyProtection="1">
      <alignment horizontal="center" vertical="center" wrapText="1"/>
    </xf>
    <xf numFmtId="166" fontId="7" fillId="5" borderId="5" xfId="0" applyNumberFormat="1"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0" fillId="5" borderId="5" xfId="0"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9" fillId="5" borderId="5" xfId="0" applyFont="1" applyFill="1" applyBorder="1" applyAlignment="1" applyProtection="1">
      <alignment horizontal="center" vertical="center" wrapText="1"/>
    </xf>
    <xf numFmtId="0" fontId="10" fillId="5" borderId="5" xfId="0" applyFont="1" applyFill="1" applyBorder="1" applyAlignment="1" applyProtection="1">
      <alignment horizontal="center" vertical="center" wrapText="1"/>
    </xf>
    <xf numFmtId="166" fontId="21" fillId="5" borderId="5" xfId="0" applyNumberFormat="1" applyFont="1" applyFill="1" applyBorder="1" applyAlignment="1" applyProtection="1">
      <alignment horizontal="center" vertical="center"/>
    </xf>
    <xf numFmtId="0" fontId="0" fillId="5" borderId="5" xfId="0" applyFill="1" applyBorder="1" applyAlignment="1" applyProtection="1">
      <alignment horizontal="center" vertical="center"/>
    </xf>
    <xf numFmtId="0" fontId="11" fillId="5" borderId="5"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166" fontId="2" fillId="5" borderId="5" xfId="0" applyNumberFormat="1" applyFont="1" applyFill="1" applyBorder="1" applyAlignment="1" applyProtection="1">
      <alignment horizontal="center" vertical="center"/>
    </xf>
    <xf numFmtId="4" fontId="0" fillId="5" borderId="5" xfId="0" applyNumberFormat="1" applyFill="1" applyBorder="1" applyAlignment="1" applyProtection="1">
      <alignment horizontal="center" vertical="center" wrapText="1"/>
    </xf>
    <xf numFmtId="4" fontId="2" fillId="5" borderId="5" xfId="0" applyNumberFormat="1" applyFont="1" applyFill="1" applyBorder="1" applyAlignment="1" applyProtection="1">
      <alignment horizontal="center" vertical="center" wrapText="1"/>
    </xf>
    <xf numFmtId="0" fontId="9" fillId="5" borderId="5" xfId="0" applyFont="1" applyFill="1" applyBorder="1" applyAlignment="1" applyProtection="1">
      <alignment horizontal="center" vertical="center"/>
    </xf>
    <xf numFmtId="0" fontId="12" fillId="5" borderId="5"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15" fillId="4" borderId="5" xfId="0" applyFont="1" applyFill="1" applyBorder="1" applyAlignment="1" applyProtection="1">
      <alignment horizontal="center" vertical="center" wrapText="1"/>
    </xf>
    <xf numFmtId="166" fontId="0" fillId="4" borderId="5" xfId="0" applyNumberFormat="1" applyFill="1" applyBorder="1" applyAlignment="1" applyProtection="1">
      <alignment horizontal="center" vertical="center"/>
    </xf>
    <xf numFmtId="0" fontId="15" fillId="5" borderId="5" xfId="0" applyFont="1" applyFill="1" applyBorder="1" applyAlignment="1" applyProtection="1">
      <alignment horizontal="center" vertical="center" wrapText="1"/>
    </xf>
    <xf numFmtId="166" fontId="0" fillId="5" borderId="5" xfId="0" applyNumberFormat="1" applyFill="1" applyBorder="1" applyAlignment="1" applyProtection="1">
      <alignment horizontal="center" vertical="center"/>
    </xf>
    <xf numFmtId="0" fontId="0" fillId="4" borderId="5" xfId="0" applyFill="1" applyBorder="1" applyAlignment="1" applyProtection="1">
      <alignment horizontal="center" wrapText="1"/>
    </xf>
    <xf numFmtId="0" fontId="0" fillId="5" borderId="5" xfId="0" applyFill="1" applyBorder="1" applyAlignment="1" applyProtection="1">
      <alignment horizontal="center" wrapText="1"/>
    </xf>
    <xf numFmtId="0" fontId="19" fillId="0" borderId="5" xfId="3" applyFont="1" applyBorder="1" applyAlignment="1" applyProtection="1">
      <alignment horizontal="center" vertical="center" wrapText="1"/>
    </xf>
    <xf numFmtId="0" fontId="20" fillId="0" borderId="5" xfId="3" applyFont="1" applyBorder="1" applyAlignment="1" applyProtection="1">
      <alignment horizontal="left" vertical="center" wrapText="1"/>
    </xf>
    <xf numFmtId="0" fontId="0" fillId="0" borderId="5" xfId="0" applyBorder="1" applyAlignment="1" applyProtection="1">
      <alignment horizontal="center" vertical="center"/>
    </xf>
    <xf numFmtId="0" fontId="19" fillId="8" borderId="5" xfId="3" applyFont="1" applyFill="1" applyBorder="1" applyAlignment="1" applyProtection="1">
      <alignment horizontal="center" vertical="center" wrapText="1"/>
    </xf>
    <xf numFmtId="0" fontId="5" fillId="7" borderId="5" xfId="0" applyFont="1" applyFill="1" applyBorder="1" applyAlignment="1" applyProtection="1">
      <alignment horizontal="center" vertical="center"/>
    </xf>
    <xf numFmtId="0" fontId="2" fillId="0" borderId="4" xfId="0" applyFont="1" applyBorder="1" applyAlignment="1" applyProtection="1">
      <alignment horizontal="center" vertical="center"/>
    </xf>
    <xf numFmtId="0" fontId="20" fillId="8" borderId="5" xfId="3" applyFont="1" applyFill="1" applyBorder="1" applyAlignment="1" applyProtection="1">
      <alignment horizontal="left" vertical="center" wrapText="1"/>
    </xf>
    <xf numFmtId="0" fontId="20" fillId="0" borderId="5" xfId="3" applyFont="1" applyFill="1" applyBorder="1" applyAlignment="1" applyProtection="1">
      <alignment horizontal="left" vertical="center" wrapText="1"/>
    </xf>
    <xf numFmtId="0" fontId="0" fillId="0" borderId="5" xfId="0" applyFill="1" applyBorder="1" applyAlignment="1" applyProtection="1">
      <alignment horizontal="center" vertical="center"/>
    </xf>
    <xf numFmtId="0" fontId="0" fillId="0" borderId="5" xfId="0" applyBorder="1" applyAlignment="1" applyProtection="1">
      <alignment horizontal="center"/>
    </xf>
    <xf numFmtId="0" fontId="5" fillId="0" borderId="5" xfId="0" applyFont="1" applyBorder="1" applyAlignment="1" applyProtection="1">
      <alignment horizontal="center"/>
    </xf>
    <xf numFmtId="0" fontId="19" fillId="0" borderId="5" xfId="3" applyFont="1" applyBorder="1" applyAlignment="1" applyProtection="1">
      <alignment horizontal="left" vertical="center" wrapText="1"/>
    </xf>
    <xf numFmtId="0" fontId="19" fillId="8" borderId="5" xfId="3" applyFont="1" applyFill="1" applyBorder="1" applyAlignment="1" applyProtection="1">
      <alignment horizontal="left" vertical="center" wrapText="1"/>
    </xf>
    <xf numFmtId="0" fontId="5" fillId="0" borderId="5" xfId="0" applyFont="1" applyBorder="1" applyProtection="1"/>
    <xf numFmtId="0" fontId="5" fillId="8" borderId="5" xfId="0" applyFont="1" applyFill="1" applyBorder="1" applyAlignment="1" applyProtection="1">
      <alignment horizontal="center" vertical="center"/>
    </xf>
  </cellXfs>
  <cellStyles count="6">
    <cellStyle name="Comma" xfId="5" builtinId="3"/>
    <cellStyle name="Normal" xfId="0" builtinId="0"/>
    <cellStyle name="Normal 2" xfId="3" xr:uid="{1E01222E-BC1A-47E8-AEC2-444F61AD2BFF}"/>
    <cellStyle name="Normal 3" xfId="4" xr:uid="{260E65CD-92EE-4E28-9F4D-81CFAAEEA9EA}"/>
    <cellStyle name="Percent" xfId="1" builtinId="5"/>
    <cellStyle name="Обычный 2" xfId="2" xr:uid="{6FF227A6-AEA1-4D10-9593-615AEC0EDA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9F625-7FB0-40C1-9174-D2D43C5BF491}">
  <sheetPr>
    <tabColor rgb="FFFFFF00"/>
  </sheetPr>
  <dimension ref="A1:M530"/>
  <sheetViews>
    <sheetView zoomScale="70" zoomScaleNormal="70" workbookViewId="0">
      <pane xSplit="3" ySplit="7" topLeftCell="D519" activePane="bottomRight" state="frozen"/>
      <selection activeCell="C106" sqref="C106"/>
      <selection pane="topRight" activeCell="C106" sqref="C106"/>
      <selection pane="bottomLeft" activeCell="C106" sqref="C106"/>
      <selection pane="bottomRight" activeCell="B541" sqref="B541"/>
    </sheetView>
  </sheetViews>
  <sheetFormatPr defaultColWidth="9" defaultRowHeight="14.4"/>
  <cols>
    <col min="1" max="1" width="7" style="11" customWidth="1"/>
    <col min="2" max="2" width="48.6640625" style="11" customWidth="1"/>
    <col min="3" max="3" width="42.33203125" style="120" customWidth="1"/>
    <col min="4" max="4" width="13.88671875" style="74" customWidth="1"/>
    <col min="5" max="5" width="18.88671875" style="121" bestFit="1" customWidth="1"/>
    <col min="6" max="6" width="18.88671875" style="12" bestFit="1" customWidth="1"/>
    <col min="7" max="7" width="22.33203125" style="12" bestFit="1" customWidth="1"/>
    <col min="8" max="8" width="16.21875" style="12" bestFit="1" customWidth="1"/>
    <col min="9" max="9" width="13.33203125" style="12" customWidth="1"/>
    <col min="10" max="10" width="14.21875" style="12" bestFit="1" customWidth="1"/>
    <col min="11" max="11" width="11" style="12" bestFit="1" customWidth="1"/>
    <col min="12" max="12" width="11.6640625" style="12" bestFit="1" customWidth="1"/>
    <col min="13" max="13" width="17.109375" style="12" customWidth="1"/>
    <col min="14" max="16384" width="9" style="12"/>
  </cols>
  <sheetData>
    <row r="1" spans="1:13" s="10" customFormat="1" ht="19.95" customHeight="1">
      <c r="A1" s="9"/>
      <c r="B1" s="144" t="s">
        <v>231</v>
      </c>
      <c r="C1" s="145"/>
      <c r="D1" s="145"/>
      <c r="E1" s="146"/>
      <c r="F1" s="145"/>
      <c r="G1" s="145"/>
      <c r="H1" s="145"/>
      <c r="I1" s="145"/>
      <c r="J1" s="145"/>
      <c r="K1" s="145"/>
      <c r="L1" s="145"/>
      <c r="M1" s="145"/>
    </row>
    <row r="2" spans="1:13" ht="30.6" customHeight="1">
      <c r="B2" s="145"/>
      <c r="C2" s="145"/>
      <c r="D2" s="145"/>
      <c r="E2" s="146"/>
      <c r="F2" s="145"/>
      <c r="G2" s="145"/>
      <c r="H2" s="145"/>
      <c r="I2" s="145"/>
      <c r="J2" s="145"/>
      <c r="K2" s="145"/>
      <c r="L2" s="145"/>
      <c r="M2" s="145"/>
    </row>
    <row r="3" spans="1:13" ht="41.4" customHeight="1" thickBot="1">
      <c r="C3" s="101"/>
      <c r="D3" s="101"/>
      <c r="E3" s="102"/>
      <c r="F3" s="101"/>
      <c r="G3" s="101"/>
      <c r="H3" s="101"/>
      <c r="I3" s="101"/>
      <c r="J3" s="101"/>
      <c r="K3" s="101"/>
      <c r="L3" s="101"/>
      <c r="M3" s="101"/>
    </row>
    <row r="4" spans="1:13" s="13" customFormat="1" ht="27.6" customHeight="1">
      <c r="A4" s="147" t="s">
        <v>0</v>
      </c>
      <c r="B4" s="149" t="s">
        <v>1</v>
      </c>
      <c r="C4" s="151" t="s">
        <v>2</v>
      </c>
      <c r="D4" s="151" t="s">
        <v>3</v>
      </c>
      <c r="E4" s="153" t="s">
        <v>4</v>
      </c>
      <c r="F4" s="151" t="s">
        <v>5</v>
      </c>
      <c r="G4" s="151" t="s">
        <v>150</v>
      </c>
      <c r="H4" s="151"/>
      <c r="I4" s="151" t="s">
        <v>6</v>
      </c>
      <c r="J4" s="151"/>
      <c r="K4" s="151" t="s">
        <v>7</v>
      </c>
      <c r="L4" s="151"/>
      <c r="M4" s="155" t="s">
        <v>8</v>
      </c>
    </row>
    <row r="5" spans="1:13" s="13" customFormat="1" ht="33.6" customHeight="1">
      <c r="A5" s="148"/>
      <c r="B5" s="150"/>
      <c r="C5" s="152"/>
      <c r="D5" s="152"/>
      <c r="E5" s="154"/>
      <c r="F5" s="152"/>
      <c r="G5" s="143" t="s">
        <v>9</v>
      </c>
      <c r="H5" s="143" t="s">
        <v>10</v>
      </c>
      <c r="I5" s="143" t="s">
        <v>9</v>
      </c>
      <c r="J5" s="143" t="s">
        <v>10</v>
      </c>
      <c r="K5" s="143" t="s">
        <v>9</v>
      </c>
      <c r="L5" s="143" t="s">
        <v>10</v>
      </c>
      <c r="M5" s="156"/>
    </row>
    <row r="6" spans="1:13" s="13" customFormat="1" ht="16.95" customHeight="1">
      <c r="A6" s="141">
        <v>1</v>
      </c>
      <c r="B6" s="142"/>
      <c r="C6" s="143">
        <v>2</v>
      </c>
      <c r="D6" s="142">
        <v>3</v>
      </c>
      <c r="E6" s="103">
        <v>5</v>
      </c>
      <c r="F6" s="142">
        <v>6</v>
      </c>
      <c r="G6" s="142">
        <v>7</v>
      </c>
      <c r="H6" s="142">
        <v>8</v>
      </c>
      <c r="I6" s="142">
        <v>9</v>
      </c>
      <c r="J6" s="142">
        <v>10</v>
      </c>
      <c r="K6" s="142">
        <v>11</v>
      </c>
      <c r="L6" s="142">
        <v>12</v>
      </c>
      <c r="M6" s="104">
        <v>13</v>
      </c>
    </row>
    <row r="7" spans="1:13" s="13" customFormat="1" ht="21.6" customHeight="1">
      <c r="A7" s="61"/>
      <c r="B7" s="62" t="s">
        <v>115</v>
      </c>
      <c r="C7" s="62" t="s">
        <v>114</v>
      </c>
      <c r="D7" s="63"/>
      <c r="E7" s="63"/>
      <c r="F7" s="63"/>
      <c r="G7" s="63"/>
      <c r="H7" s="63"/>
      <c r="I7" s="63"/>
      <c r="J7" s="63"/>
      <c r="K7" s="63"/>
      <c r="L7" s="63"/>
      <c r="M7" s="90"/>
    </row>
    <row r="8" spans="1:13" s="20" customFormat="1" ht="19.95" customHeight="1">
      <c r="A8" s="14"/>
      <c r="B8" s="15" t="s">
        <v>51</v>
      </c>
      <c r="C8" s="16" t="s">
        <v>53</v>
      </c>
      <c r="D8" s="17"/>
      <c r="E8" s="18"/>
      <c r="F8" s="18"/>
      <c r="G8" s="1"/>
      <c r="H8" s="1"/>
      <c r="I8" s="1"/>
      <c r="J8" s="1"/>
      <c r="K8" s="1"/>
      <c r="L8" s="1"/>
      <c r="M8" s="19"/>
    </row>
    <row r="9" spans="1:13" s="20" customFormat="1" ht="19.95" customHeight="1">
      <c r="A9" s="91">
        <v>1</v>
      </c>
      <c r="B9" s="157" t="s">
        <v>11</v>
      </c>
      <c r="C9" s="158" t="s">
        <v>12</v>
      </c>
      <c r="D9" s="159" t="s">
        <v>13</v>
      </c>
      <c r="E9" s="122"/>
      <c r="F9" s="123">
        <f>E25*0.2</f>
        <v>175.08</v>
      </c>
      <c r="G9" s="3"/>
      <c r="H9" s="3"/>
      <c r="I9" s="3"/>
      <c r="J9" s="3"/>
      <c r="K9" s="3"/>
      <c r="L9" s="3"/>
      <c r="M9" s="92"/>
    </row>
    <row r="10" spans="1:13" s="20" customFormat="1" ht="19.95" customHeight="1">
      <c r="A10" s="91"/>
      <c r="B10" s="160" t="s">
        <v>14</v>
      </c>
      <c r="C10" s="161" t="s">
        <v>15</v>
      </c>
      <c r="D10" s="159" t="s">
        <v>13</v>
      </c>
      <c r="E10" s="124">
        <v>1.24</v>
      </c>
      <c r="F10" s="124">
        <f>F9*E10</f>
        <v>217.09920000000002</v>
      </c>
      <c r="G10" s="3"/>
      <c r="H10" s="3">
        <f>F10*G10</f>
        <v>0</v>
      </c>
      <c r="I10" s="3"/>
      <c r="J10" s="3"/>
      <c r="K10" s="3"/>
      <c r="L10" s="3">
        <f>ROUND(K10*F10,2)</f>
        <v>0</v>
      </c>
      <c r="M10" s="92">
        <f>L10+J10+H10</f>
        <v>0</v>
      </c>
    </row>
    <row r="11" spans="1:13" s="20" customFormat="1" ht="33.6" customHeight="1">
      <c r="A11" s="91">
        <v>2</v>
      </c>
      <c r="B11" s="162" t="s">
        <v>55</v>
      </c>
      <c r="C11" s="163" t="s">
        <v>56</v>
      </c>
      <c r="D11" s="159" t="s">
        <v>13</v>
      </c>
      <c r="E11" s="124"/>
      <c r="F11" s="123">
        <v>85.8</v>
      </c>
      <c r="G11" s="3"/>
      <c r="H11" s="3"/>
      <c r="I11" s="3"/>
      <c r="J11" s="3"/>
      <c r="K11" s="3"/>
      <c r="L11" s="3"/>
      <c r="M11" s="92"/>
    </row>
    <row r="12" spans="1:13" s="20" customFormat="1" ht="19.8">
      <c r="A12" s="105"/>
      <c r="B12" s="164" t="s">
        <v>116</v>
      </c>
      <c r="C12" s="165" t="s">
        <v>121</v>
      </c>
      <c r="D12" s="159" t="s">
        <v>13</v>
      </c>
      <c r="E12" s="124">
        <v>1</v>
      </c>
      <c r="F12" s="124">
        <f>E12*F11</f>
        <v>85.8</v>
      </c>
      <c r="G12" s="3"/>
      <c r="H12" s="3"/>
      <c r="I12" s="3"/>
      <c r="J12" s="3">
        <f>I12*F12</f>
        <v>0</v>
      </c>
      <c r="K12" s="3"/>
      <c r="L12" s="3"/>
      <c r="M12" s="92">
        <f>L12+J12+H12</f>
        <v>0</v>
      </c>
    </row>
    <row r="13" spans="1:13" s="20" customFormat="1" ht="19.95" customHeight="1">
      <c r="A13" s="91"/>
      <c r="B13" s="166" t="s">
        <v>57</v>
      </c>
      <c r="C13" s="161" t="s">
        <v>58</v>
      </c>
      <c r="D13" s="159" t="s">
        <v>13</v>
      </c>
      <c r="E13" s="124">
        <v>1.02</v>
      </c>
      <c r="F13" s="124">
        <f>F11*E13</f>
        <v>87.516000000000005</v>
      </c>
      <c r="G13" s="3"/>
      <c r="H13" s="3">
        <f>F13*G13</f>
        <v>0</v>
      </c>
      <c r="I13" s="3"/>
      <c r="J13" s="3"/>
      <c r="K13" s="3"/>
      <c r="L13" s="3">
        <f>ROUND(K13*F13,2)</f>
        <v>0</v>
      </c>
      <c r="M13" s="92">
        <f t="shared" ref="M11:M13" si="0">L13+J13+H13</f>
        <v>0</v>
      </c>
    </row>
    <row r="14" spans="1:13" s="20" customFormat="1" ht="19.95" customHeight="1">
      <c r="A14" s="14">
        <v>3</v>
      </c>
      <c r="B14" s="167" t="s">
        <v>146</v>
      </c>
      <c r="C14" s="168" t="s">
        <v>147</v>
      </c>
      <c r="D14" s="169" t="s">
        <v>16</v>
      </c>
      <c r="E14" s="125"/>
      <c r="F14" s="126">
        <f>945+300</f>
        <v>1245</v>
      </c>
      <c r="G14" s="4"/>
      <c r="H14" s="4"/>
      <c r="I14" s="4"/>
      <c r="J14" s="4"/>
      <c r="K14" s="4"/>
      <c r="L14" s="4"/>
      <c r="M14" s="94"/>
    </row>
    <row r="15" spans="1:13" s="20" customFormat="1" ht="19.95" customHeight="1">
      <c r="A15" s="14"/>
      <c r="B15" s="170" t="s">
        <v>116</v>
      </c>
      <c r="C15" s="171" t="s">
        <v>121</v>
      </c>
      <c r="D15" s="169" t="s">
        <v>16</v>
      </c>
      <c r="E15" s="125">
        <v>1</v>
      </c>
      <c r="F15" s="125">
        <f>E15*F14</f>
        <v>1245</v>
      </c>
      <c r="G15" s="4"/>
      <c r="H15" s="4"/>
      <c r="I15" s="4"/>
      <c r="J15" s="4">
        <f>I15*F15</f>
        <v>0</v>
      </c>
      <c r="K15" s="4"/>
      <c r="L15" s="4"/>
      <c r="M15" s="94">
        <f t="shared" ref="M15:M19" si="1">L15+J15+H15</f>
        <v>0</v>
      </c>
    </row>
    <row r="16" spans="1:13" s="20" customFormat="1" ht="19.95" customHeight="1">
      <c r="A16" s="14"/>
      <c r="B16" s="170" t="s">
        <v>117</v>
      </c>
      <c r="C16" s="171" t="s">
        <v>122</v>
      </c>
      <c r="D16" s="169" t="s">
        <v>16</v>
      </c>
      <c r="E16" s="125">
        <v>1.1399999999999999</v>
      </c>
      <c r="F16" s="125">
        <f>E16*F14</f>
        <v>1419.3</v>
      </c>
      <c r="G16" s="4"/>
      <c r="H16" s="4">
        <f>G16*F16</f>
        <v>0</v>
      </c>
      <c r="I16" s="4"/>
      <c r="J16" s="4"/>
      <c r="K16" s="4"/>
      <c r="L16" s="4"/>
      <c r="M16" s="94">
        <f t="shared" si="1"/>
        <v>0</v>
      </c>
    </row>
    <row r="17" spans="1:13" s="20" customFormat="1" ht="19.95" customHeight="1">
      <c r="A17" s="14"/>
      <c r="B17" s="170" t="s">
        <v>118</v>
      </c>
      <c r="C17" s="171" t="s">
        <v>123</v>
      </c>
      <c r="D17" s="169" t="s">
        <v>16</v>
      </c>
      <c r="E17" s="125">
        <v>1.1399999999999999</v>
      </c>
      <c r="F17" s="125">
        <f>E17*F14</f>
        <v>1419.3</v>
      </c>
      <c r="G17" s="4"/>
      <c r="H17" s="4">
        <f t="shared" ref="H17:H19" si="2">F17*G17</f>
        <v>0</v>
      </c>
      <c r="I17" s="4"/>
      <c r="J17" s="4"/>
      <c r="K17" s="4"/>
      <c r="L17" s="4"/>
      <c r="M17" s="94">
        <f t="shared" si="1"/>
        <v>0</v>
      </c>
    </row>
    <row r="18" spans="1:13" s="20" customFormat="1" ht="19.95" customHeight="1">
      <c r="A18" s="14"/>
      <c r="B18" s="170" t="s">
        <v>119</v>
      </c>
      <c r="C18" s="171" t="s">
        <v>124</v>
      </c>
      <c r="D18" s="169" t="s">
        <v>17</v>
      </c>
      <c r="E18" s="125">
        <v>0.45</v>
      </c>
      <c r="F18" s="125">
        <f>E18*F14</f>
        <v>560.25</v>
      </c>
      <c r="G18" s="4"/>
      <c r="H18" s="4">
        <f t="shared" si="2"/>
        <v>0</v>
      </c>
      <c r="I18" s="4"/>
      <c r="J18" s="4"/>
      <c r="K18" s="4"/>
      <c r="L18" s="4"/>
      <c r="M18" s="94">
        <f t="shared" si="1"/>
        <v>0</v>
      </c>
    </row>
    <row r="19" spans="1:13" s="20" customFormat="1" ht="19.95" customHeight="1">
      <c r="A19" s="14"/>
      <c r="B19" s="170" t="s">
        <v>120</v>
      </c>
      <c r="C19" s="171" t="s">
        <v>125</v>
      </c>
      <c r="D19" s="169" t="s">
        <v>17</v>
      </c>
      <c r="E19" s="125">
        <v>0.25</v>
      </c>
      <c r="F19" s="125">
        <f>E19*F14</f>
        <v>311.25</v>
      </c>
      <c r="G19" s="4"/>
      <c r="H19" s="4">
        <f t="shared" si="2"/>
        <v>0</v>
      </c>
      <c r="I19" s="4"/>
      <c r="J19" s="4"/>
      <c r="K19" s="4"/>
      <c r="L19" s="4"/>
      <c r="M19" s="94">
        <f t="shared" si="1"/>
        <v>0</v>
      </c>
    </row>
    <row r="20" spans="1:13" s="20" customFormat="1" ht="24.6" customHeight="1">
      <c r="A20" s="14">
        <v>4</v>
      </c>
      <c r="B20" s="168" t="s">
        <v>394</v>
      </c>
      <c r="C20" s="168" t="s">
        <v>395</v>
      </c>
      <c r="D20" s="169" t="s">
        <v>16</v>
      </c>
      <c r="E20" s="125"/>
      <c r="F20" s="126">
        <v>1245</v>
      </c>
      <c r="G20" s="4"/>
      <c r="H20" s="4"/>
      <c r="I20" s="4"/>
      <c r="J20" s="4"/>
      <c r="K20" s="4"/>
      <c r="L20" s="4"/>
      <c r="M20" s="94"/>
    </row>
    <row r="21" spans="1:13" s="20" customFormat="1" ht="19.95" customHeight="1">
      <c r="A21" s="14"/>
      <c r="B21" s="170" t="s">
        <v>116</v>
      </c>
      <c r="C21" s="171" t="s">
        <v>121</v>
      </c>
      <c r="D21" s="169" t="s">
        <v>16</v>
      </c>
      <c r="E21" s="125">
        <v>1</v>
      </c>
      <c r="F21" s="125">
        <f>E21*F20</f>
        <v>1245</v>
      </c>
      <c r="G21" s="4"/>
      <c r="H21" s="4"/>
      <c r="I21" s="4"/>
      <c r="J21" s="4">
        <f>I21*F21</f>
        <v>0</v>
      </c>
      <c r="K21" s="4"/>
      <c r="L21" s="4"/>
      <c r="M21" s="94">
        <f>L21+J21+H21</f>
        <v>0</v>
      </c>
    </row>
    <row r="22" spans="1:13" s="20" customFormat="1" ht="19.95" customHeight="1">
      <c r="A22" s="14"/>
      <c r="B22" s="170" t="s">
        <v>18</v>
      </c>
      <c r="C22" s="171" t="s">
        <v>126</v>
      </c>
      <c r="D22" s="169" t="s">
        <v>16</v>
      </c>
      <c r="E22" s="125">
        <v>1.2</v>
      </c>
      <c r="F22" s="125">
        <f>E22*F20</f>
        <v>1494</v>
      </c>
      <c r="G22" s="4"/>
      <c r="H22" s="4">
        <f>F22*G22</f>
        <v>0</v>
      </c>
      <c r="I22" s="4"/>
      <c r="J22" s="4"/>
      <c r="K22" s="4"/>
      <c r="L22" s="4"/>
      <c r="M22" s="94">
        <f>L22+J22+H22</f>
        <v>0</v>
      </c>
    </row>
    <row r="23" spans="1:13" s="20" customFormat="1" ht="19.95" customHeight="1">
      <c r="A23" s="14"/>
      <c r="B23" s="170" t="s">
        <v>148</v>
      </c>
      <c r="C23" s="171" t="s">
        <v>149</v>
      </c>
      <c r="D23" s="169" t="s">
        <v>16</v>
      </c>
      <c r="E23" s="125">
        <v>1.2</v>
      </c>
      <c r="F23" s="125">
        <f>E23*F20</f>
        <v>1494</v>
      </c>
      <c r="G23" s="4"/>
      <c r="H23" s="4">
        <f>F23*G23</f>
        <v>0</v>
      </c>
      <c r="I23" s="4"/>
      <c r="J23" s="4"/>
      <c r="K23" s="4"/>
      <c r="L23" s="4"/>
      <c r="M23" s="94">
        <f>L23+J23+H23</f>
        <v>0</v>
      </c>
    </row>
    <row r="24" spans="1:13" s="20" customFormat="1" ht="34.950000000000003" customHeight="1">
      <c r="A24" s="91">
        <v>5</v>
      </c>
      <c r="B24" s="172" t="s">
        <v>59</v>
      </c>
      <c r="C24" s="163" t="s">
        <v>60</v>
      </c>
      <c r="D24" s="159" t="s">
        <v>13</v>
      </c>
      <c r="E24" s="124"/>
      <c r="F24" s="123">
        <v>437.7</v>
      </c>
      <c r="G24" s="3"/>
      <c r="H24" s="3"/>
      <c r="I24" s="3"/>
      <c r="J24" s="3"/>
      <c r="K24" s="3"/>
      <c r="L24" s="3"/>
      <c r="M24" s="92"/>
    </row>
    <row r="25" spans="1:13" s="107" customFormat="1" ht="34.950000000000003" customHeight="1">
      <c r="A25" s="105"/>
      <c r="B25" s="173" t="s">
        <v>113</v>
      </c>
      <c r="C25" s="165" t="s">
        <v>27</v>
      </c>
      <c r="D25" s="174" t="s">
        <v>16</v>
      </c>
      <c r="E25" s="124">
        <f>F24/0.5</f>
        <v>875.4</v>
      </c>
      <c r="F25" s="124"/>
      <c r="G25" s="5"/>
      <c r="H25" s="5"/>
      <c r="I25" s="5"/>
      <c r="J25" s="5">
        <f>I25*E25</f>
        <v>0</v>
      </c>
      <c r="K25" s="5"/>
      <c r="L25" s="5"/>
      <c r="M25" s="106">
        <f t="shared" ref="M25" si="3">L25+J25+H25</f>
        <v>0</v>
      </c>
    </row>
    <row r="26" spans="1:13" s="20" customFormat="1" ht="19.95" customHeight="1">
      <c r="A26" s="91"/>
      <c r="B26" s="175" t="s">
        <v>64</v>
      </c>
      <c r="C26" s="161" t="s">
        <v>67</v>
      </c>
      <c r="D26" s="159" t="s">
        <v>13</v>
      </c>
      <c r="E26" s="127">
        <v>1.0149999999999999</v>
      </c>
      <c r="F26" s="124">
        <f>F24*E26</f>
        <v>444.26549999999992</v>
      </c>
      <c r="G26" s="3"/>
      <c r="H26" s="3">
        <f>F26*G26</f>
        <v>0</v>
      </c>
      <c r="I26" s="3"/>
      <c r="J26" s="3"/>
      <c r="K26" s="3"/>
      <c r="L26" s="3">
        <f>K26*F26</f>
        <v>0</v>
      </c>
      <c r="M26" s="92">
        <f t="shared" ref="M26:M32" si="4">L26+J26+H26</f>
        <v>0</v>
      </c>
    </row>
    <row r="27" spans="1:13" s="20" customFormat="1" ht="19.95" customHeight="1">
      <c r="A27" s="91"/>
      <c r="B27" s="166" t="s">
        <v>154</v>
      </c>
      <c r="C27" s="176" t="s">
        <v>153</v>
      </c>
      <c r="D27" s="177" t="s">
        <v>19</v>
      </c>
      <c r="E27" s="128">
        <f>7/1000</f>
        <v>7.0000000000000001E-3</v>
      </c>
      <c r="F27" s="127">
        <f>ROUND(E27*1.03,3)</f>
        <v>7.0000000000000001E-3</v>
      </c>
      <c r="G27" s="3"/>
      <c r="H27" s="3">
        <f t="shared" ref="H27:H32" si="5">F27*G27</f>
        <v>0</v>
      </c>
      <c r="I27" s="3"/>
      <c r="J27" s="3"/>
      <c r="K27" s="3"/>
      <c r="L27" s="3"/>
      <c r="M27" s="92">
        <f t="shared" si="4"/>
        <v>0</v>
      </c>
    </row>
    <row r="28" spans="1:13" s="20" customFormat="1" ht="19.95" customHeight="1">
      <c r="A28" s="91"/>
      <c r="B28" s="166" t="s">
        <v>152</v>
      </c>
      <c r="C28" s="176" t="s">
        <v>151</v>
      </c>
      <c r="D28" s="177" t="s">
        <v>19</v>
      </c>
      <c r="E28" s="128">
        <f>(1712+537+656)/1000</f>
        <v>2.9049999999999998</v>
      </c>
      <c r="F28" s="127">
        <f t="shared" ref="F28:F30" si="6">ROUND(E28*1.03,3)</f>
        <v>2.992</v>
      </c>
      <c r="G28" s="3"/>
      <c r="H28" s="3">
        <f t="shared" si="5"/>
        <v>0</v>
      </c>
      <c r="I28" s="3"/>
      <c r="J28" s="3"/>
      <c r="K28" s="3"/>
      <c r="L28" s="3"/>
      <c r="M28" s="92">
        <f t="shared" si="4"/>
        <v>0</v>
      </c>
    </row>
    <row r="29" spans="1:13" s="20" customFormat="1" ht="19.95" customHeight="1">
      <c r="A29" s="91"/>
      <c r="B29" s="166" t="s">
        <v>159</v>
      </c>
      <c r="C29" s="176" t="s">
        <v>160</v>
      </c>
      <c r="D29" s="177" t="s">
        <v>19</v>
      </c>
      <c r="E29" s="128">
        <f>(18100+1325+248+1269+1049+354+439)/1000</f>
        <v>22.783999999999999</v>
      </c>
      <c r="F29" s="127">
        <f t="shared" si="6"/>
        <v>23.468</v>
      </c>
      <c r="G29" s="3"/>
      <c r="H29" s="3">
        <f t="shared" si="5"/>
        <v>0</v>
      </c>
      <c r="I29" s="3"/>
      <c r="J29" s="3"/>
      <c r="K29" s="3"/>
      <c r="L29" s="3"/>
      <c r="M29" s="92">
        <f t="shared" si="4"/>
        <v>0</v>
      </c>
    </row>
    <row r="30" spans="1:13" s="20" customFormat="1" ht="19.95" customHeight="1">
      <c r="A30" s="91"/>
      <c r="B30" s="166" t="s">
        <v>161</v>
      </c>
      <c r="C30" s="176" t="s">
        <v>162</v>
      </c>
      <c r="D30" s="177" t="s">
        <v>19</v>
      </c>
      <c r="E30" s="128">
        <f>(469+364)/1000</f>
        <v>0.83299999999999996</v>
      </c>
      <c r="F30" s="127">
        <f t="shared" si="6"/>
        <v>0.85799999999999998</v>
      </c>
      <c r="G30" s="3"/>
      <c r="H30" s="3">
        <f t="shared" si="5"/>
        <v>0</v>
      </c>
      <c r="I30" s="3"/>
      <c r="J30" s="3"/>
      <c r="K30" s="3"/>
      <c r="L30" s="3"/>
      <c r="M30" s="92">
        <f t="shared" si="4"/>
        <v>0</v>
      </c>
    </row>
    <row r="31" spans="1:13" s="20" customFormat="1" ht="19.95" customHeight="1">
      <c r="A31" s="91"/>
      <c r="B31" s="178" t="s">
        <v>20</v>
      </c>
      <c r="C31" s="161" t="s">
        <v>21</v>
      </c>
      <c r="D31" s="159" t="s">
        <v>13</v>
      </c>
      <c r="E31" s="127"/>
      <c r="F31" s="124">
        <f>F24</f>
        <v>437.7</v>
      </c>
      <c r="G31" s="3"/>
      <c r="H31" s="3">
        <f t="shared" si="5"/>
        <v>0</v>
      </c>
      <c r="I31" s="3"/>
      <c r="J31" s="3"/>
      <c r="K31" s="3"/>
      <c r="L31" s="3"/>
      <c r="M31" s="92">
        <f t="shared" si="4"/>
        <v>0</v>
      </c>
    </row>
    <row r="32" spans="1:13" s="20" customFormat="1" ht="19.95" customHeight="1">
      <c r="A32" s="91"/>
      <c r="B32" s="179" t="s">
        <v>22</v>
      </c>
      <c r="C32" s="161" t="s">
        <v>23</v>
      </c>
      <c r="D32" s="159" t="s">
        <v>13</v>
      </c>
      <c r="E32" s="124"/>
      <c r="F32" s="124">
        <f>F24</f>
        <v>437.7</v>
      </c>
      <c r="G32" s="3"/>
      <c r="H32" s="3">
        <f t="shared" si="5"/>
        <v>0</v>
      </c>
      <c r="I32" s="3"/>
      <c r="J32" s="3"/>
      <c r="K32" s="3"/>
      <c r="L32" s="3"/>
      <c r="M32" s="92">
        <f t="shared" si="4"/>
        <v>0</v>
      </c>
    </row>
    <row r="33" spans="1:13" s="20" customFormat="1" ht="19.95" customHeight="1">
      <c r="A33" s="14"/>
      <c r="B33" s="180" t="s">
        <v>52</v>
      </c>
      <c r="C33" s="181" t="s">
        <v>54</v>
      </c>
      <c r="D33" s="169"/>
      <c r="E33" s="125"/>
      <c r="F33" s="125"/>
      <c r="G33" s="4"/>
      <c r="H33" s="4"/>
      <c r="I33" s="4"/>
      <c r="J33" s="4"/>
      <c r="K33" s="4"/>
      <c r="L33" s="4"/>
      <c r="M33" s="94"/>
    </row>
    <row r="34" spans="1:13" s="20" customFormat="1" ht="19.95" customHeight="1">
      <c r="A34" s="108">
        <v>6</v>
      </c>
      <c r="B34" s="182" t="s">
        <v>11</v>
      </c>
      <c r="C34" s="183" t="s">
        <v>12</v>
      </c>
      <c r="D34" s="184" t="s">
        <v>13</v>
      </c>
      <c r="E34" s="129"/>
      <c r="F34" s="130">
        <f>E50*0.2</f>
        <v>169.08</v>
      </c>
      <c r="G34" s="6"/>
      <c r="H34" s="6"/>
      <c r="I34" s="6"/>
      <c r="J34" s="6"/>
      <c r="K34" s="6"/>
      <c r="L34" s="6"/>
      <c r="M34" s="109"/>
    </row>
    <row r="35" spans="1:13" s="20" customFormat="1" ht="19.95" customHeight="1">
      <c r="A35" s="108"/>
      <c r="B35" s="185" t="s">
        <v>14</v>
      </c>
      <c r="C35" s="186" t="s">
        <v>15</v>
      </c>
      <c r="D35" s="184" t="s">
        <v>13</v>
      </c>
      <c r="E35" s="131">
        <v>1.24</v>
      </c>
      <c r="F35" s="131">
        <f>F34*E35</f>
        <v>209.65920000000003</v>
      </c>
      <c r="G35" s="6"/>
      <c r="H35" s="6">
        <f>F35*G35</f>
        <v>0</v>
      </c>
      <c r="I35" s="6"/>
      <c r="J35" s="6"/>
      <c r="K35" s="6"/>
      <c r="L35" s="6">
        <f>ROUND(K35*F35,2)</f>
        <v>0</v>
      </c>
      <c r="M35" s="109">
        <f>L35+J35+H35</f>
        <v>0</v>
      </c>
    </row>
    <row r="36" spans="1:13" s="20" customFormat="1" ht="33.6" customHeight="1">
      <c r="A36" s="108">
        <v>7</v>
      </c>
      <c r="B36" s="187" t="s">
        <v>55</v>
      </c>
      <c r="C36" s="188" t="s">
        <v>56</v>
      </c>
      <c r="D36" s="184" t="s">
        <v>13</v>
      </c>
      <c r="E36" s="131"/>
      <c r="F36" s="130">
        <v>85.5</v>
      </c>
      <c r="G36" s="6"/>
      <c r="H36" s="6"/>
      <c r="I36" s="6"/>
      <c r="J36" s="6"/>
      <c r="K36" s="6"/>
      <c r="L36" s="6"/>
      <c r="M36" s="109"/>
    </row>
    <row r="37" spans="1:13" s="20" customFormat="1" ht="19.8">
      <c r="A37" s="110"/>
      <c r="B37" s="189" t="s">
        <v>116</v>
      </c>
      <c r="C37" s="190" t="s">
        <v>121</v>
      </c>
      <c r="D37" s="191" t="s">
        <v>13</v>
      </c>
      <c r="E37" s="131">
        <v>1</v>
      </c>
      <c r="F37" s="131">
        <f>E37*F36</f>
        <v>85.5</v>
      </c>
      <c r="G37" s="6"/>
      <c r="H37" s="6"/>
      <c r="I37" s="6"/>
      <c r="J37" s="6">
        <f>I37*F37</f>
        <v>0</v>
      </c>
      <c r="K37" s="6"/>
      <c r="L37" s="6"/>
      <c r="M37" s="109">
        <f t="shared" ref="M36:M38" si="7">L37+J37+H37</f>
        <v>0</v>
      </c>
    </row>
    <row r="38" spans="1:13" s="20" customFormat="1" ht="19.95" customHeight="1">
      <c r="A38" s="108"/>
      <c r="B38" s="192" t="s">
        <v>57</v>
      </c>
      <c r="C38" s="186" t="s">
        <v>58</v>
      </c>
      <c r="D38" s="184" t="s">
        <v>13</v>
      </c>
      <c r="E38" s="131">
        <v>1.02</v>
      </c>
      <c r="F38" s="131">
        <f>F36*E38</f>
        <v>87.210000000000008</v>
      </c>
      <c r="G38" s="6"/>
      <c r="H38" s="6">
        <f>F38*G38</f>
        <v>0</v>
      </c>
      <c r="I38" s="6"/>
      <c r="J38" s="6"/>
      <c r="K38" s="6"/>
      <c r="L38" s="6">
        <f>ROUND(K38*F38,2)</f>
        <v>0</v>
      </c>
      <c r="M38" s="109">
        <f t="shared" si="7"/>
        <v>0</v>
      </c>
    </row>
    <row r="39" spans="1:13" s="20" customFormat="1" ht="19.95" customHeight="1">
      <c r="A39" s="14">
        <v>8</v>
      </c>
      <c r="B39" s="167" t="s">
        <v>146</v>
      </c>
      <c r="C39" s="168" t="s">
        <v>147</v>
      </c>
      <c r="D39" s="169" t="s">
        <v>16</v>
      </c>
      <c r="E39" s="125"/>
      <c r="F39" s="126">
        <f>945+300</f>
        <v>1245</v>
      </c>
      <c r="G39" s="4"/>
      <c r="H39" s="4"/>
      <c r="I39" s="4"/>
      <c r="J39" s="4"/>
      <c r="K39" s="4"/>
      <c r="L39" s="4"/>
      <c r="M39" s="94"/>
    </row>
    <row r="40" spans="1:13" s="20" customFormat="1" ht="19.95" customHeight="1">
      <c r="A40" s="14"/>
      <c r="B40" s="170" t="s">
        <v>116</v>
      </c>
      <c r="C40" s="171" t="s">
        <v>121</v>
      </c>
      <c r="D40" s="169" t="s">
        <v>16</v>
      </c>
      <c r="E40" s="125">
        <v>1</v>
      </c>
      <c r="F40" s="125">
        <f>E40*F39</f>
        <v>1245</v>
      </c>
      <c r="G40" s="4"/>
      <c r="H40" s="4"/>
      <c r="I40" s="4"/>
      <c r="J40" s="4">
        <f>I40*F40</f>
        <v>0</v>
      </c>
      <c r="K40" s="4"/>
      <c r="L40" s="4"/>
      <c r="M40" s="94">
        <f t="shared" ref="M40:M44" si="8">L40+J40+H40</f>
        <v>0</v>
      </c>
    </row>
    <row r="41" spans="1:13" s="20" customFormat="1" ht="19.95" customHeight="1">
      <c r="A41" s="14"/>
      <c r="B41" s="170" t="s">
        <v>117</v>
      </c>
      <c r="C41" s="171" t="s">
        <v>122</v>
      </c>
      <c r="D41" s="169" t="s">
        <v>16</v>
      </c>
      <c r="E41" s="125">
        <v>1.1399999999999999</v>
      </c>
      <c r="F41" s="125">
        <f>E41*F39</f>
        <v>1419.3</v>
      </c>
      <c r="G41" s="4"/>
      <c r="H41" s="4">
        <f>G41*F41</f>
        <v>0</v>
      </c>
      <c r="I41" s="4"/>
      <c r="J41" s="4"/>
      <c r="K41" s="4"/>
      <c r="L41" s="4"/>
      <c r="M41" s="94">
        <f t="shared" si="8"/>
        <v>0</v>
      </c>
    </row>
    <row r="42" spans="1:13" s="20" customFormat="1" ht="19.95" customHeight="1">
      <c r="A42" s="14"/>
      <c r="B42" s="170" t="s">
        <v>118</v>
      </c>
      <c r="C42" s="171" t="s">
        <v>123</v>
      </c>
      <c r="D42" s="169" t="s">
        <v>16</v>
      </c>
      <c r="E42" s="125">
        <v>1.1399999999999999</v>
      </c>
      <c r="F42" s="125">
        <f>E42*F39</f>
        <v>1419.3</v>
      </c>
      <c r="G42" s="4"/>
      <c r="H42" s="4">
        <f t="shared" ref="H42:H44" si="9">F42*G42</f>
        <v>0</v>
      </c>
      <c r="I42" s="4"/>
      <c r="J42" s="4"/>
      <c r="K42" s="4"/>
      <c r="L42" s="4"/>
      <c r="M42" s="94">
        <f t="shared" si="8"/>
        <v>0</v>
      </c>
    </row>
    <row r="43" spans="1:13" s="20" customFormat="1" ht="19.95" customHeight="1">
      <c r="A43" s="14"/>
      <c r="B43" s="170" t="s">
        <v>119</v>
      </c>
      <c r="C43" s="171" t="s">
        <v>124</v>
      </c>
      <c r="D43" s="169" t="s">
        <v>17</v>
      </c>
      <c r="E43" s="125">
        <v>0.45</v>
      </c>
      <c r="F43" s="125">
        <f>E43*F39</f>
        <v>560.25</v>
      </c>
      <c r="G43" s="4"/>
      <c r="H43" s="4">
        <f t="shared" si="9"/>
        <v>0</v>
      </c>
      <c r="I43" s="4"/>
      <c r="J43" s="4"/>
      <c r="K43" s="4"/>
      <c r="L43" s="4"/>
      <c r="M43" s="94">
        <f t="shared" si="8"/>
        <v>0</v>
      </c>
    </row>
    <row r="44" spans="1:13" s="20" customFormat="1" ht="19.95" customHeight="1">
      <c r="A44" s="14"/>
      <c r="B44" s="170" t="s">
        <v>120</v>
      </c>
      <c r="C44" s="171" t="s">
        <v>125</v>
      </c>
      <c r="D44" s="169" t="s">
        <v>17</v>
      </c>
      <c r="E44" s="125">
        <v>0.25</v>
      </c>
      <c r="F44" s="125">
        <f>E44*F39</f>
        <v>311.25</v>
      </c>
      <c r="G44" s="4"/>
      <c r="H44" s="4">
        <f t="shared" si="9"/>
        <v>0</v>
      </c>
      <c r="I44" s="4"/>
      <c r="J44" s="4"/>
      <c r="K44" s="4"/>
      <c r="L44" s="4"/>
      <c r="M44" s="94">
        <f t="shared" si="8"/>
        <v>0</v>
      </c>
    </row>
    <row r="45" spans="1:13" s="20" customFormat="1" ht="24.6" customHeight="1">
      <c r="A45" s="14">
        <v>9</v>
      </c>
      <c r="B45" s="168" t="s">
        <v>394</v>
      </c>
      <c r="C45" s="168" t="s">
        <v>395</v>
      </c>
      <c r="D45" s="169" t="s">
        <v>16</v>
      </c>
      <c r="E45" s="125"/>
      <c r="F45" s="126">
        <v>1245</v>
      </c>
      <c r="G45" s="4"/>
      <c r="H45" s="4"/>
      <c r="I45" s="4"/>
      <c r="J45" s="4"/>
      <c r="K45" s="4"/>
      <c r="L45" s="4"/>
      <c r="M45" s="94"/>
    </row>
    <row r="46" spans="1:13" s="20" customFormat="1" ht="19.95" customHeight="1">
      <c r="A46" s="14"/>
      <c r="B46" s="170" t="s">
        <v>116</v>
      </c>
      <c r="C46" s="171" t="s">
        <v>121</v>
      </c>
      <c r="D46" s="169" t="s">
        <v>16</v>
      </c>
      <c r="E46" s="125">
        <v>1</v>
      </c>
      <c r="F46" s="125">
        <f>E46*F45</f>
        <v>1245</v>
      </c>
      <c r="G46" s="4"/>
      <c r="H46" s="4"/>
      <c r="I46" s="4"/>
      <c r="J46" s="4">
        <f>I46*F46</f>
        <v>0</v>
      </c>
      <c r="K46" s="4"/>
      <c r="L46" s="4"/>
      <c r="M46" s="94">
        <f>L46+J46+H46</f>
        <v>0</v>
      </c>
    </row>
    <row r="47" spans="1:13" s="20" customFormat="1" ht="19.95" customHeight="1">
      <c r="A47" s="14"/>
      <c r="B47" s="170" t="s">
        <v>18</v>
      </c>
      <c r="C47" s="171" t="s">
        <v>126</v>
      </c>
      <c r="D47" s="169" t="s">
        <v>16</v>
      </c>
      <c r="E47" s="125">
        <v>1.2</v>
      </c>
      <c r="F47" s="125">
        <f>E47*F45</f>
        <v>1494</v>
      </c>
      <c r="G47" s="4"/>
      <c r="H47" s="4">
        <f>F47*G47</f>
        <v>0</v>
      </c>
      <c r="I47" s="4"/>
      <c r="J47" s="4"/>
      <c r="K47" s="4"/>
      <c r="L47" s="4"/>
      <c r="M47" s="94">
        <f>L47+J47+H47</f>
        <v>0</v>
      </c>
    </row>
    <row r="48" spans="1:13" s="20" customFormat="1" ht="19.95" customHeight="1">
      <c r="A48" s="14"/>
      <c r="B48" s="170" t="s">
        <v>148</v>
      </c>
      <c r="C48" s="171" t="s">
        <v>149</v>
      </c>
      <c r="D48" s="169" t="s">
        <v>16</v>
      </c>
      <c r="E48" s="125">
        <v>1.2</v>
      </c>
      <c r="F48" s="125">
        <f>E48*F45</f>
        <v>1494</v>
      </c>
      <c r="G48" s="4"/>
      <c r="H48" s="4">
        <f>F48*G48</f>
        <v>0</v>
      </c>
      <c r="I48" s="4"/>
      <c r="J48" s="4"/>
      <c r="K48" s="4"/>
      <c r="L48" s="4"/>
      <c r="M48" s="94">
        <f>L48+J48+H48</f>
        <v>0</v>
      </c>
    </row>
    <row r="49" spans="1:13" s="20" customFormat="1" ht="34.950000000000003" customHeight="1">
      <c r="A49" s="108">
        <v>10</v>
      </c>
      <c r="B49" s="193" t="s">
        <v>63</v>
      </c>
      <c r="C49" s="188" t="s">
        <v>65</v>
      </c>
      <c r="D49" s="184" t="s">
        <v>13</v>
      </c>
      <c r="E49" s="131"/>
      <c r="F49" s="130">
        <v>422.7</v>
      </c>
      <c r="G49" s="6"/>
      <c r="H49" s="6"/>
      <c r="I49" s="6"/>
      <c r="J49" s="6"/>
      <c r="K49" s="6"/>
      <c r="L49" s="6"/>
      <c r="M49" s="109"/>
    </row>
    <row r="50" spans="1:13" s="107" customFormat="1" ht="34.950000000000003" customHeight="1">
      <c r="A50" s="110"/>
      <c r="B50" s="194" t="s">
        <v>113</v>
      </c>
      <c r="C50" s="190" t="s">
        <v>27</v>
      </c>
      <c r="D50" s="195" t="s">
        <v>16</v>
      </c>
      <c r="E50" s="131">
        <f>F49/0.5</f>
        <v>845.4</v>
      </c>
      <c r="F50" s="131"/>
      <c r="G50" s="7"/>
      <c r="H50" s="7"/>
      <c r="I50" s="7"/>
      <c r="J50" s="7">
        <f>I50*E50</f>
        <v>0</v>
      </c>
      <c r="K50" s="7"/>
      <c r="L50" s="7"/>
      <c r="M50" s="111">
        <f t="shared" ref="M50:M57" si="10">L50+J50+H50</f>
        <v>0</v>
      </c>
    </row>
    <row r="51" spans="1:13" s="20" customFormat="1" ht="19.95" customHeight="1">
      <c r="A51" s="108"/>
      <c r="B51" s="186" t="s">
        <v>64</v>
      </c>
      <c r="C51" s="186" t="s">
        <v>67</v>
      </c>
      <c r="D51" s="184" t="s">
        <v>13</v>
      </c>
      <c r="E51" s="132">
        <v>1.0149999999999999</v>
      </c>
      <c r="F51" s="131">
        <f>F49*E51</f>
        <v>429.04049999999995</v>
      </c>
      <c r="G51" s="6"/>
      <c r="H51" s="6">
        <f>F51*G51</f>
        <v>0</v>
      </c>
      <c r="I51" s="6"/>
      <c r="J51" s="6"/>
      <c r="K51" s="6"/>
      <c r="L51" s="6">
        <f>K51*F51</f>
        <v>0</v>
      </c>
      <c r="M51" s="109">
        <f t="shared" si="10"/>
        <v>0</v>
      </c>
    </row>
    <row r="52" spans="1:13" s="20" customFormat="1" ht="19.95" customHeight="1">
      <c r="A52" s="108"/>
      <c r="B52" s="192" t="s">
        <v>154</v>
      </c>
      <c r="C52" s="196" t="s">
        <v>153</v>
      </c>
      <c r="D52" s="197" t="s">
        <v>19</v>
      </c>
      <c r="E52" s="133">
        <f>7/1000</f>
        <v>7.0000000000000001E-3</v>
      </c>
      <c r="F52" s="132">
        <f>ROUND(E52*1.03,3)</f>
        <v>7.0000000000000001E-3</v>
      </c>
      <c r="G52" s="6"/>
      <c r="H52" s="6">
        <f t="shared" ref="H52:H55" si="11">F52*G52</f>
        <v>0</v>
      </c>
      <c r="I52" s="6"/>
      <c r="J52" s="6"/>
      <c r="K52" s="6"/>
      <c r="L52" s="6"/>
      <c r="M52" s="109">
        <f t="shared" si="10"/>
        <v>0</v>
      </c>
    </row>
    <row r="53" spans="1:13" s="20" customFormat="1" ht="19.95" customHeight="1">
      <c r="A53" s="108"/>
      <c r="B53" s="192" t="s">
        <v>152</v>
      </c>
      <c r="C53" s="196" t="s">
        <v>151</v>
      </c>
      <c r="D53" s="197" t="s">
        <v>19</v>
      </c>
      <c r="E53" s="133">
        <f>(1626+537+656)/1000</f>
        <v>2.819</v>
      </c>
      <c r="F53" s="132">
        <f t="shared" ref="F53:F55" si="12">ROUND(E53*1.03,3)</f>
        <v>2.9039999999999999</v>
      </c>
      <c r="G53" s="6"/>
      <c r="H53" s="6">
        <f t="shared" si="11"/>
        <v>0</v>
      </c>
      <c r="I53" s="6"/>
      <c r="J53" s="6"/>
      <c r="K53" s="6"/>
      <c r="L53" s="6"/>
      <c r="M53" s="109">
        <f t="shared" si="10"/>
        <v>0</v>
      </c>
    </row>
    <row r="54" spans="1:13" s="20" customFormat="1" ht="19.95" customHeight="1">
      <c r="A54" s="108"/>
      <c r="B54" s="192" t="s">
        <v>159</v>
      </c>
      <c r="C54" s="196" t="s">
        <v>160</v>
      </c>
      <c r="D54" s="197" t="s">
        <v>19</v>
      </c>
      <c r="E54" s="133">
        <f>(17546+1197+200+1231+1049+354+439)/1000</f>
        <v>22.015999999999998</v>
      </c>
      <c r="F54" s="132">
        <f t="shared" si="12"/>
        <v>22.675999999999998</v>
      </c>
      <c r="G54" s="6"/>
      <c r="H54" s="6">
        <f t="shared" si="11"/>
        <v>0</v>
      </c>
      <c r="I54" s="6"/>
      <c r="J54" s="6"/>
      <c r="K54" s="6"/>
      <c r="L54" s="6"/>
      <c r="M54" s="109">
        <f t="shared" si="10"/>
        <v>0</v>
      </c>
    </row>
    <row r="55" spans="1:13" s="20" customFormat="1" ht="19.95" customHeight="1">
      <c r="A55" s="108"/>
      <c r="B55" s="192" t="s">
        <v>161</v>
      </c>
      <c r="C55" s="196" t="s">
        <v>162</v>
      </c>
      <c r="D55" s="197" t="s">
        <v>19</v>
      </c>
      <c r="E55" s="133">
        <f>(412+320)/1000</f>
        <v>0.73199999999999998</v>
      </c>
      <c r="F55" s="132">
        <f t="shared" si="12"/>
        <v>0.754</v>
      </c>
      <c r="G55" s="6"/>
      <c r="H55" s="6">
        <f t="shared" si="11"/>
        <v>0</v>
      </c>
      <c r="I55" s="6"/>
      <c r="J55" s="6"/>
      <c r="K55" s="6"/>
      <c r="L55" s="6"/>
      <c r="M55" s="109">
        <f t="shared" si="10"/>
        <v>0</v>
      </c>
    </row>
    <row r="56" spans="1:13" s="20" customFormat="1" ht="19.95" customHeight="1">
      <c r="A56" s="108"/>
      <c r="B56" s="198" t="s">
        <v>20</v>
      </c>
      <c r="C56" s="186" t="s">
        <v>21</v>
      </c>
      <c r="D56" s="184" t="s">
        <v>13</v>
      </c>
      <c r="E56" s="132"/>
      <c r="F56" s="131">
        <f>F49</f>
        <v>422.7</v>
      </c>
      <c r="G56" s="6"/>
      <c r="H56" s="6">
        <f t="shared" ref="H56:H57" si="13">F56*G56</f>
        <v>0</v>
      </c>
      <c r="I56" s="6"/>
      <c r="J56" s="6"/>
      <c r="K56" s="6"/>
      <c r="L56" s="6"/>
      <c r="M56" s="109">
        <f t="shared" si="10"/>
        <v>0</v>
      </c>
    </row>
    <row r="57" spans="1:13" s="20" customFormat="1" ht="19.95" customHeight="1">
      <c r="A57" s="108"/>
      <c r="B57" s="199" t="s">
        <v>22</v>
      </c>
      <c r="C57" s="186" t="s">
        <v>23</v>
      </c>
      <c r="D57" s="184" t="s">
        <v>13</v>
      </c>
      <c r="E57" s="131"/>
      <c r="F57" s="131">
        <f>F49</f>
        <v>422.7</v>
      </c>
      <c r="G57" s="6"/>
      <c r="H57" s="6">
        <f t="shared" si="13"/>
        <v>0</v>
      </c>
      <c r="I57" s="6"/>
      <c r="J57" s="6"/>
      <c r="K57" s="6"/>
      <c r="L57" s="6"/>
      <c r="M57" s="109">
        <f t="shared" si="10"/>
        <v>0</v>
      </c>
    </row>
    <row r="58" spans="1:13" s="13" customFormat="1" ht="21.6" customHeight="1">
      <c r="A58" s="61"/>
      <c r="B58" s="200" t="s">
        <v>68</v>
      </c>
      <c r="C58" s="200" t="s">
        <v>69</v>
      </c>
      <c r="D58" s="201"/>
      <c r="E58" s="134"/>
      <c r="F58" s="134"/>
      <c r="G58" s="112"/>
      <c r="H58" s="112"/>
      <c r="I58" s="112"/>
      <c r="J58" s="112"/>
      <c r="K58" s="112"/>
      <c r="L58" s="112"/>
      <c r="M58" s="113"/>
    </row>
    <row r="59" spans="1:13" s="20" customFormat="1" ht="19.95" customHeight="1">
      <c r="A59" s="14"/>
      <c r="B59" s="180" t="s">
        <v>51</v>
      </c>
      <c r="C59" s="181" t="s">
        <v>53</v>
      </c>
      <c r="D59" s="169"/>
      <c r="E59" s="125"/>
      <c r="F59" s="125"/>
      <c r="G59" s="4"/>
      <c r="H59" s="4"/>
      <c r="I59" s="4"/>
      <c r="J59" s="4"/>
      <c r="K59" s="4"/>
      <c r="L59" s="4"/>
      <c r="M59" s="94"/>
    </row>
    <row r="60" spans="1:13" s="20" customFormat="1" ht="48.6" customHeight="1">
      <c r="A60" s="91">
        <v>11</v>
      </c>
      <c r="B60" s="172" t="s">
        <v>171</v>
      </c>
      <c r="C60" s="163" t="s">
        <v>165</v>
      </c>
      <c r="D60" s="159" t="s">
        <v>13</v>
      </c>
      <c r="E60" s="124"/>
      <c r="F60" s="123">
        <f>50+3.1+19.5</f>
        <v>72.599999999999994</v>
      </c>
      <c r="G60" s="3"/>
      <c r="H60" s="3"/>
      <c r="I60" s="3"/>
      <c r="J60" s="3"/>
      <c r="K60" s="3"/>
      <c r="L60" s="3"/>
      <c r="M60" s="92"/>
    </row>
    <row r="61" spans="1:13" s="20" customFormat="1" ht="19.95" customHeight="1">
      <c r="A61" s="91"/>
      <c r="B61" s="175" t="s">
        <v>64</v>
      </c>
      <c r="C61" s="161" t="s">
        <v>67</v>
      </c>
      <c r="D61" s="159" t="s">
        <v>13</v>
      </c>
      <c r="E61" s="127">
        <v>1.0149999999999999</v>
      </c>
      <c r="F61" s="124">
        <f>E61*F60</f>
        <v>73.688999999999993</v>
      </c>
      <c r="G61" s="3"/>
      <c r="H61" s="3">
        <f>G61*F61</f>
        <v>0</v>
      </c>
      <c r="I61" s="3"/>
      <c r="J61" s="3"/>
      <c r="K61" s="3"/>
      <c r="L61" s="3">
        <f>K61*F61</f>
        <v>0</v>
      </c>
      <c r="M61" s="92">
        <f t="shared" ref="M60:M78" si="14">L61+J61+H61</f>
        <v>0</v>
      </c>
    </row>
    <row r="62" spans="1:13" s="20" customFormat="1" ht="19.95" customHeight="1">
      <c r="A62" s="91"/>
      <c r="B62" s="166" t="s">
        <v>154</v>
      </c>
      <c r="C62" s="176" t="s">
        <v>153</v>
      </c>
      <c r="D62" s="177" t="s">
        <v>19</v>
      </c>
      <c r="E62" s="128">
        <f>(77+5+30)/1000</f>
        <v>0.112</v>
      </c>
      <c r="F62" s="127">
        <f t="shared" ref="F62:F63" si="15">ROUND(E62*1.03,3)</f>
        <v>0.115</v>
      </c>
      <c r="G62" s="3"/>
      <c r="H62" s="3">
        <f t="shared" ref="H62" si="16">G62*F62</f>
        <v>0</v>
      </c>
      <c r="I62" s="3"/>
      <c r="J62" s="3"/>
      <c r="K62" s="3"/>
      <c r="L62" s="3"/>
      <c r="M62" s="92">
        <f t="shared" si="14"/>
        <v>0</v>
      </c>
    </row>
    <row r="63" spans="1:13" s="20" customFormat="1" ht="19.95" customHeight="1">
      <c r="A63" s="91"/>
      <c r="B63" s="166" t="s">
        <v>152</v>
      </c>
      <c r="C63" s="176" t="s">
        <v>151</v>
      </c>
      <c r="D63" s="177" t="s">
        <v>19</v>
      </c>
      <c r="E63" s="128">
        <f>(3944+34+302+82+1294+145)/1000</f>
        <v>5.8010000000000002</v>
      </c>
      <c r="F63" s="127">
        <f t="shared" si="15"/>
        <v>5.9749999999999996</v>
      </c>
      <c r="G63" s="3"/>
      <c r="H63" s="3">
        <f>F63*G63</f>
        <v>0</v>
      </c>
      <c r="I63" s="3"/>
      <c r="J63" s="3"/>
      <c r="K63" s="3"/>
      <c r="L63" s="3"/>
      <c r="M63" s="92">
        <f t="shared" si="14"/>
        <v>0</v>
      </c>
    </row>
    <row r="64" spans="1:13" s="20" customFormat="1" ht="21.6" customHeight="1">
      <c r="A64" s="91"/>
      <c r="B64" s="178" t="s">
        <v>24</v>
      </c>
      <c r="C64" s="161" t="s">
        <v>25</v>
      </c>
      <c r="D64" s="159" t="s">
        <v>13</v>
      </c>
      <c r="E64" s="124"/>
      <c r="F64" s="124">
        <f>F60</f>
        <v>72.599999999999994</v>
      </c>
      <c r="G64" s="3"/>
      <c r="H64" s="3">
        <f t="shared" ref="H64:H65" si="17">G64*F64</f>
        <v>0</v>
      </c>
      <c r="I64" s="3"/>
      <c r="J64" s="3"/>
      <c r="K64" s="3"/>
      <c r="L64" s="3"/>
      <c r="M64" s="92">
        <f t="shared" si="14"/>
        <v>0</v>
      </c>
    </row>
    <row r="65" spans="1:13" s="20" customFormat="1" ht="21.6" customHeight="1">
      <c r="A65" s="91"/>
      <c r="B65" s="179" t="s">
        <v>22</v>
      </c>
      <c r="C65" s="161" t="s">
        <v>23</v>
      </c>
      <c r="D65" s="159" t="s">
        <v>13</v>
      </c>
      <c r="E65" s="124"/>
      <c r="F65" s="124">
        <f>F60</f>
        <v>72.599999999999994</v>
      </c>
      <c r="G65" s="3"/>
      <c r="H65" s="3">
        <f t="shared" si="17"/>
        <v>0</v>
      </c>
      <c r="I65" s="3"/>
      <c r="J65" s="3"/>
      <c r="K65" s="3"/>
      <c r="L65" s="3"/>
      <c r="M65" s="92">
        <f t="shared" si="14"/>
        <v>0</v>
      </c>
    </row>
    <row r="66" spans="1:13" s="20" customFormat="1" ht="48.6" customHeight="1">
      <c r="A66" s="91">
        <v>12</v>
      </c>
      <c r="B66" s="172" t="s">
        <v>172</v>
      </c>
      <c r="C66" s="163" t="s">
        <v>138</v>
      </c>
      <c r="D66" s="159" t="s">
        <v>13</v>
      </c>
      <c r="E66" s="124"/>
      <c r="F66" s="123">
        <f>31+2</f>
        <v>33</v>
      </c>
      <c r="G66" s="3"/>
      <c r="H66" s="3"/>
      <c r="I66" s="3"/>
      <c r="J66" s="3"/>
      <c r="K66" s="3"/>
      <c r="L66" s="3"/>
      <c r="M66" s="92"/>
    </row>
    <row r="67" spans="1:13" s="20" customFormat="1" ht="19.95" customHeight="1">
      <c r="A67" s="91"/>
      <c r="B67" s="175" t="s">
        <v>64</v>
      </c>
      <c r="C67" s="161" t="s">
        <v>67</v>
      </c>
      <c r="D67" s="159" t="s">
        <v>13</v>
      </c>
      <c r="E67" s="127">
        <v>1.0149999999999999</v>
      </c>
      <c r="F67" s="124">
        <f>E67*F66</f>
        <v>33.494999999999997</v>
      </c>
      <c r="G67" s="3"/>
      <c r="H67" s="3">
        <f>G67*F67</f>
        <v>0</v>
      </c>
      <c r="I67" s="3"/>
      <c r="J67" s="3"/>
      <c r="K67" s="3"/>
      <c r="L67" s="3">
        <f>K67*F67</f>
        <v>0</v>
      </c>
      <c r="M67" s="92">
        <f t="shared" ref="M66:M72" si="18">L67+J67+H67</f>
        <v>0</v>
      </c>
    </row>
    <row r="68" spans="1:13" s="20" customFormat="1" ht="19.95" customHeight="1">
      <c r="A68" s="91"/>
      <c r="B68" s="166" t="s">
        <v>154</v>
      </c>
      <c r="C68" s="176" t="s">
        <v>153</v>
      </c>
      <c r="D68" s="177" t="s">
        <v>19</v>
      </c>
      <c r="E68" s="128">
        <f>(42+2)/1000</f>
        <v>4.3999999999999997E-2</v>
      </c>
      <c r="F68" s="127">
        <f t="shared" ref="F68:F70" si="19">ROUND(E68*1.03,3)</f>
        <v>4.4999999999999998E-2</v>
      </c>
      <c r="G68" s="3"/>
      <c r="H68" s="3">
        <f t="shared" ref="H68" si="20">G68*F68</f>
        <v>0</v>
      </c>
      <c r="I68" s="3"/>
      <c r="J68" s="3"/>
      <c r="K68" s="3"/>
      <c r="L68" s="3"/>
      <c r="M68" s="92">
        <f t="shared" si="18"/>
        <v>0</v>
      </c>
    </row>
    <row r="69" spans="1:13" s="20" customFormat="1" ht="19.95" customHeight="1">
      <c r="A69" s="91"/>
      <c r="B69" s="166" t="s">
        <v>152</v>
      </c>
      <c r="C69" s="176" t="s">
        <v>151</v>
      </c>
      <c r="D69" s="177" t="s">
        <v>19</v>
      </c>
      <c r="E69" s="128">
        <f>(980+204+10+16+31+49+26+39)/1000</f>
        <v>1.355</v>
      </c>
      <c r="F69" s="127">
        <f t="shared" si="19"/>
        <v>1.3959999999999999</v>
      </c>
      <c r="G69" s="3"/>
      <c r="H69" s="3">
        <f>F69*G69</f>
        <v>0</v>
      </c>
      <c r="I69" s="3"/>
      <c r="J69" s="3"/>
      <c r="K69" s="3"/>
      <c r="L69" s="3"/>
      <c r="M69" s="92">
        <f t="shared" si="18"/>
        <v>0</v>
      </c>
    </row>
    <row r="70" spans="1:13" s="20" customFormat="1" ht="19.95" customHeight="1">
      <c r="A70" s="91"/>
      <c r="B70" s="166" t="s">
        <v>159</v>
      </c>
      <c r="C70" s="176" t="s">
        <v>160</v>
      </c>
      <c r="D70" s="177" t="s">
        <v>19</v>
      </c>
      <c r="E70" s="128">
        <f>(1788+93+173)/1000</f>
        <v>2.0539999999999998</v>
      </c>
      <c r="F70" s="127">
        <f t="shared" si="19"/>
        <v>2.1160000000000001</v>
      </c>
      <c r="G70" s="3"/>
      <c r="H70" s="3">
        <f>F70*G70</f>
        <v>0</v>
      </c>
      <c r="I70" s="3"/>
      <c r="J70" s="3"/>
      <c r="K70" s="3"/>
      <c r="L70" s="3"/>
      <c r="M70" s="92">
        <f t="shared" si="18"/>
        <v>0</v>
      </c>
    </row>
    <row r="71" spans="1:13" s="20" customFormat="1" ht="21.6" customHeight="1">
      <c r="A71" s="91"/>
      <c r="B71" s="178" t="s">
        <v>24</v>
      </c>
      <c r="C71" s="161" t="s">
        <v>25</v>
      </c>
      <c r="D71" s="159" t="s">
        <v>13</v>
      </c>
      <c r="E71" s="124"/>
      <c r="F71" s="124">
        <f>F66</f>
        <v>33</v>
      </c>
      <c r="G71" s="3"/>
      <c r="H71" s="3">
        <f t="shared" ref="H71:H72" si="21">G71*F71</f>
        <v>0</v>
      </c>
      <c r="I71" s="3"/>
      <c r="J71" s="3"/>
      <c r="K71" s="3"/>
      <c r="L71" s="3"/>
      <c r="M71" s="92">
        <f t="shared" si="18"/>
        <v>0</v>
      </c>
    </row>
    <row r="72" spans="1:13" s="20" customFormat="1" ht="21.6" customHeight="1">
      <c r="A72" s="91"/>
      <c r="B72" s="179" t="s">
        <v>22</v>
      </c>
      <c r="C72" s="161" t="s">
        <v>23</v>
      </c>
      <c r="D72" s="159" t="s">
        <v>13</v>
      </c>
      <c r="E72" s="124"/>
      <c r="F72" s="124">
        <f>F66</f>
        <v>33</v>
      </c>
      <c r="G72" s="3"/>
      <c r="H72" s="3">
        <f t="shared" si="21"/>
        <v>0</v>
      </c>
      <c r="I72" s="3"/>
      <c r="J72" s="3"/>
      <c r="K72" s="3"/>
      <c r="L72" s="3"/>
      <c r="M72" s="92">
        <f t="shared" si="18"/>
        <v>0</v>
      </c>
    </row>
    <row r="73" spans="1:13" s="20" customFormat="1" ht="33" customHeight="1">
      <c r="A73" s="91">
        <v>13</v>
      </c>
      <c r="B73" s="162" t="s">
        <v>173</v>
      </c>
      <c r="C73" s="163" t="s">
        <v>71</v>
      </c>
      <c r="D73" s="159" t="s">
        <v>13</v>
      </c>
      <c r="E73" s="124"/>
      <c r="F73" s="123">
        <f>3.38+1.52+4.55+2.75+2.13+2.35+3.44+0.45+0.45+2.27</f>
        <v>23.29</v>
      </c>
      <c r="G73" s="3"/>
      <c r="H73" s="3"/>
      <c r="I73" s="3"/>
      <c r="J73" s="3"/>
      <c r="K73" s="3"/>
      <c r="L73" s="3"/>
      <c r="M73" s="92"/>
    </row>
    <row r="74" spans="1:13" s="20" customFormat="1" ht="19.95" customHeight="1">
      <c r="A74" s="91"/>
      <c r="B74" s="175" t="s">
        <v>64</v>
      </c>
      <c r="C74" s="161" t="s">
        <v>67</v>
      </c>
      <c r="D74" s="159" t="s">
        <v>13</v>
      </c>
      <c r="E74" s="127">
        <v>1.0149999999999999</v>
      </c>
      <c r="F74" s="124">
        <f>E74*F73</f>
        <v>23.639349999999997</v>
      </c>
      <c r="G74" s="3"/>
      <c r="H74" s="3">
        <f>G74*F74</f>
        <v>0</v>
      </c>
      <c r="I74" s="3"/>
      <c r="J74" s="3"/>
      <c r="K74" s="3"/>
      <c r="L74" s="3">
        <f>K74*F74</f>
        <v>0</v>
      </c>
      <c r="M74" s="92">
        <f t="shared" si="14"/>
        <v>0</v>
      </c>
    </row>
    <row r="75" spans="1:13" s="20" customFormat="1" ht="19.95" customHeight="1">
      <c r="A75" s="91"/>
      <c r="B75" s="166" t="s">
        <v>154</v>
      </c>
      <c r="C75" s="176" t="s">
        <v>153</v>
      </c>
      <c r="D75" s="177" t="s">
        <v>19</v>
      </c>
      <c r="E75" s="128">
        <f>(119+88+43+32+129+96+95+71+73+20+73+20+119+88+19+5+19+5+71+53)/1000</f>
        <v>1.238</v>
      </c>
      <c r="F75" s="127">
        <f t="shared" ref="F75:F76" si="22">ROUND(E75*1.03,3)</f>
        <v>1.2749999999999999</v>
      </c>
      <c r="G75" s="3"/>
      <c r="H75" s="3">
        <f>G75*F75</f>
        <v>0</v>
      </c>
      <c r="I75" s="3"/>
      <c r="J75" s="3"/>
      <c r="K75" s="3"/>
      <c r="L75" s="3"/>
      <c r="M75" s="92">
        <f t="shared" si="14"/>
        <v>0</v>
      </c>
    </row>
    <row r="76" spans="1:13" s="20" customFormat="1" ht="19.95" customHeight="1">
      <c r="A76" s="91"/>
      <c r="B76" s="166" t="s">
        <v>161</v>
      </c>
      <c r="C76" s="176" t="s">
        <v>162</v>
      </c>
      <c r="D76" s="177" t="s">
        <v>19</v>
      </c>
      <c r="E76" s="128">
        <f>(536+215+644+429+228+17+3+228+3+13+189+221+80+80+241)/1000</f>
        <v>3.1269999999999998</v>
      </c>
      <c r="F76" s="127">
        <f t="shared" si="22"/>
        <v>3.2210000000000001</v>
      </c>
      <c r="G76" s="3"/>
      <c r="H76" s="3">
        <f>F76*G76</f>
        <v>0</v>
      </c>
      <c r="I76" s="3"/>
      <c r="J76" s="3"/>
      <c r="K76" s="3"/>
      <c r="L76" s="3"/>
      <c r="M76" s="92">
        <f t="shared" si="14"/>
        <v>0</v>
      </c>
    </row>
    <row r="77" spans="1:13" s="20" customFormat="1" ht="19.95" customHeight="1">
      <c r="A77" s="91"/>
      <c r="B77" s="178" t="s">
        <v>32</v>
      </c>
      <c r="C77" s="161" t="s">
        <v>33</v>
      </c>
      <c r="D77" s="159" t="s">
        <v>13</v>
      </c>
      <c r="E77" s="124"/>
      <c r="F77" s="124">
        <f>F73</f>
        <v>23.29</v>
      </c>
      <c r="G77" s="3"/>
      <c r="H77" s="3">
        <f>G77*F77</f>
        <v>0</v>
      </c>
      <c r="I77" s="3"/>
      <c r="J77" s="3"/>
      <c r="K77" s="3"/>
      <c r="L77" s="3"/>
      <c r="M77" s="92">
        <f t="shared" si="14"/>
        <v>0</v>
      </c>
    </row>
    <row r="78" spans="1:13" s="20" customFormat="1" ht="21.6" customHeight="1">
      <c r="A78" s="91"/>
      <c r="B78" s="179" t="s">
        <v>22</v>
      </c>
      <c r="C78" s="161" t="s">
        <v>23</v>
      </c>
      <c r="D78" s="159" t="s">
        <v>13</v>
      </c>
      <c r="E78" s="124"/>
      <c r="F78" s="124">
        <f>F73</f>
        <v>23.29</v>
      </c>
      <c r="G78" s="3"/>
      <c r="H78" s="3">
        <f>G78*F78</f>
        <v>0</v>
      </c>
      <c r="I78" s="3"/>
      <c r="J78" s="3"/>
      <c r="K78" s="3"/>
      <c r="L78" s="3"/>
      <c r="M78" s="92">
        <f t="shared" si="14"/>
        <v>0</v>
      </c>
    </row>
    <row r="79" spans="1:13" s="20" customFormat="1" ht="34.950000000000003" customHeight="1">
      <c r="A79" s="91">
        <v>14</v>
      </c>
      <c r="B79" s="162" t="s">
        <v>207</v>
      </c>
      <c r="C79" s="163" t="s">
        <v>72</v>
      </c>
      <c r="D79" s="159" t="s">
        <v>13</v>
      </c>
      <c r="E79" s="124"/>
      <c r="F79" s="123">
        <v>3.1</v>
      </c>
      <c r="G79" s="3"/>
      <c r="H79" s="3"/>
      <c r="I79" s="3"/>
      <c r="J79" s="3"/>
      <c r="K79" s="3"/>
      <c r="L79" s="3"/>
      <c r="M79" s="92"/>
    </row>
    <row r="80" spans="1:13" s="20" customFormat="1" ht="22.2" customHeight="1">
      <c r="A80" s="91"/>
      <c r="B80" s="202" t="s">
        <v>396</v>
      </c>
      <c r="C80" s="202" t="s">
        <v>35</v>
      </c>
      <c r="D80" s="203" t="s">
        <v>34</v>
      </c>
      <c r="E80" s="124">
        <v>20</v>
      </c>
      <c r="F80" s="123"/>
      <c r="G80" s="3"/>
      <c r="H80" s="3"/>
      <c r="I80" s="3"/>
      <c r="J80" s="3">
        <f>I80*E80</f>
        <v>0</v>
      </c>
      <c r="K80" s="3"/>
      <c r="L80" s="3"/>
      <c r="M80" s="92">
        <f>H80+J80+L80</f>
        <v>0</v>
      </c>
    </row>
    <row r="81" spans="1:13" s="20" customFormat="1" ht="19.95" customHeight="1">
      <c r="A81" s="91"/>
      <c r="B81" s="161" t="s">
        <v>64</v>
      </c>
      <c r="C81" s="161" t="s">
        <v>67</v>
      </c>
      <c r="D81" s="159" t="s">
        <v>13</v>
      </c>
      <c r="E81" s="127">
        <v>1.0149999999999999</v>
      </c>
      <c r="F81" s="124">
        <f>E81*F79</f>
        <v>3.1464999999999996</v>
      </c>
      <c r="G81" s="3"/>
      <c r="H81" s="3">
        <f>G81*F81</f>
        <v>0</v>
      </c>
      <c r="I81" s="3"/>
      <c r="J81" s="3"/>
      <c r="K81" s="3"/>
      <c r="L81" s="3">
        <f>K81*F81</f>
        <v>0</v>
      </c>
      <c r="M81" s="92">
        <f t="shared" ref="M81:M85" si="23">L81+J81+H81</f>
        <v>0</v>
      </c>
    </row>
    <row r="82" spans="1:13" s="20" customFormat="1" ht="19.95" customHeight="1">
      <c r="A82" s="91"/>
      <c r="B82" s="166" t="s">
        <v>152</v>
      </c>
      <c r="C82" s="176" t="s">
        <v>151</v>
      </c>
      <c r="D82" s="177" t="s">
        <v>19</v>
      </c>
      <c r="E82" s="128">
        <f>(59+31+25)/1000</f>
        <v>0.115</v>
      </c>
      <c r="F82" s="127">
        <f t="shared" ref="F82:F83" si="24">ROUND(E82*1.03,3)</f>
        <v>0.11799999999999999</v>
      </c>
      <c r="G82" s="3"/>
      <c r="H82" s="3">
        <f>G82*F82</f>
        <v>0</v>
      </c>
      <c r="I82" s="3"/>
      <c r="J82" s="3"/>
      <c r="K82" s="3"/>
      <c r="L82" s="3"/>
      <c r="M82" s="92">
        <f t="shared" si="23"/>
        <v>0</v>
      </c>
    </row>
    <row r="83" spans="1:13" s="20" customFormat="1" ht="19.95" customHeight="1">
      <c r="A83" s="91"/>
      <c r="B83" s="166" t="s">
        <v>159</v>
      </c>
      <c r="C83" s="176" t="s">
        <v>160</v>
      </c>
      <c r="D83" s="177" t="s">
        <v>19</v>
      </c>
      <c r="E83" s="128">
        <f>(193/1000)</f>
        <v>0.193</v>
      </c>
      <c r="F83" s="127">
        <f t="shared" si="24"/>
        <v>0.19900000000000001</v>
      </c>
      <c r="G83" s="3"/>
      <c r="H83" s="3">
        <f>F83*G83</f>
        <v>0</v>
      </c>
      <c r="I83" s="3"/>
      <c r="J83" s="3"/>
      <c r="K83" s="3"/>
      <c r="L83" s="3"/>
      <c r="M83" s="92">
        <f t="shared" si="23"/>
        <v>0</v>
      </c>
    </row>
    <row r="84" spans="1:13" s="20" customFormat="1" ht="19.95" customHeight="1">
      <c r="A84" s="91"/>
      <c r="B84" s="161" t="s">
        <v>36</v>
      </c>
      <c r="C84" s="161" t="s">
        <v>37</v>
      </c>
      <c r="D84" s="159" t="s">
        <v>13</v>
      </c>
      <c r="E84" s="127"/>
      <c r="F84" s="124">
        <f>F79</f>
        <v>3.1</v>
      </c>
      <c r="G84" s="3"/>
      <c r="H84" s="3">
        <f>G84*F84</f>
        <v>0</v>
      </c>
      <c r="I84" s="3"/>
      <c r="J84" s="3"/>
      <c r="K84" s="3"/>
      <c r="L84" s="3"/>
      <c r="M84" s="92">
        <f t="shared" si="23"/>
        <v>0</v>
      </c>
    </row>
    <row r="85" spans="1:13" s="20" customFormat="1" ht="19.95" customHeight="1">
      <c r="A85" s="91"/>
      <c r="B85" s="179" t="s">
        <v>22</v>
      </c>
      <c r="C85" s="161" t="s">
        <v>23</v>
      </c>
      <c r="D85" s="159" t="s">
        <v>13</v>
      </c>
      <c r="E85" s="124"/>
      <c r="F85" s="124">
        <f>F79</f>
        <v>3.1</v>
      </c>
      <c r="G85" s="3"/>
      <c r="H85" s="3">
        <f>G85*F85</f>
        <v>0</v>
      </c>
      <c r="I85" s="3"/>
      <c r="J85" s="3"/>
      <c r="K85" s="3"/>
      <c r="L85" s="3"/>
      <c r="M85" s="92">
        <f t="shared" si="23"/>
        <v>0</v>
      </c>
    </row>
    <row r="86" spans="1:13" s="13" customFormat="1" ht="21.6" customHeight="1">
      <c r="A86" s="61"/>
      <c r="B86" s="200" t="s">
        <v>61</v>
      </c>
      <c r="C86" s="200" t="s">
        <v>62</v>
      </c>
      <c r="D86" s="201"/>
      <c r="E86" s="134"/>
      <c r="F86" s="134"/>
      <c r="G86" s="112"/>
      <c r="H86" s="112"/>
      <c r="I86" s="112"/>
      <c r="J86" s="112"/>
      <c r="K86" s="112"/>
      <c r="L86" s="112"/>
      <c r="M86" s="113"/>
    </row>
    <row r="87" spans="1:13" s="20" customFormat="1" ht="19.95" customHeight="1">
      <c r="A87" s="14"/>
      <c r="B87" s="180" t="s">
        <v>52</v>
      </c>
      <c r="C87" s="181" t="s">
        <v>54</v>
      </c>
      <c r="D87" s="169"/>
      <c r="E87" s="125"/>
      <c r="F87" s="125"/>
      <c r="G87" s="4"/>
      <c r="H87" s="4"/>
      <c r="I87" s="4"/>
      <c r="J87" s="4"/>
      <c r="K87" s="4"/>
      <c r="L87" s="4"/>
      <c r="M87" s="94"/>
    </row>
    <row r="88" spans="1:13" s="20" customFormat="1" ht="48.6" customHeight="1">
      <c r="A88" s="108">
        <v>15</v>
      </c>
      <c r="B88" s="193" t="s">
        <v>174</v>
      </c>
      <c r="C88" s="188" t="s">
        <v>136</v>
      </c>
      <c r="D88" s="184" t="s">
        <v>13</v>
      </c>
      <c r="E88" s="131"/>
      <c r="F88" s="130">
        <f>62.2+3.6+12</f>
        <v>77.8</v>
      </c>
      <c r="G88" s="6"/>
      <c r="H88" s="6"/>
      <c r="I88" s="6"/>
      <c r="J88" s="6"/>
      <c r="K88" s="6"/>
      <c r="L88" s="6"/>
      <c r="M88" s="109"/>
    </row>
    <row r="89" spans="1:13" s="20" customFormat="1" ht="19.95" customHeight="1">
      <c r="A89" s="108"/>
      <c r="B89" s="186" t="s">
        <v>64</v>
      </c>
      <c r="C89" s="186" t="s">
        <v>67</v>
      </c>
      <c r="D89" s="184" t="s">
        <v>13</v>
      </c>
      <c r="E89" s="132">
        <v>1.0149999999999999</v>
      </c>
      <c r="F89" s="131">
        <f>E89*F88</f>
        <v>78.966999999999985</v>
      </c>
      <c r="G89" s="6"/>
      <c r="H89" s="6">
        <f>G89*F89</f>
        <v>0</v>
      </c>
      <c r="I89" s="6"/>
      <c r="J89" s="6"/>
      <c r="K89" s="6"/>
      <c r="L89" s="6">
        <f>K89*F89</f>
        <v>0</v>
      </c>
      <c r="M89" s="109">
        <f t="shared" ref="M88:M106" si="25">L89+J89+H89</f>
        <v>0</v>
      </c>
    </row>
    <row r="90" spans="1:13" s="20" customFormat="1" ht="19.95" customHeight="1">
      <c r="A90" s="108"/>
      <c r="B90" s="192" t="s">
        <v>154</v>
      </c>
      <c r="C90" s="196" t="s">
        <v>153</v>
      </c>
      <c r="D90" s="197" t="s">
        <v>19</v>
      </c>
      <c r="E90" s="133">
        <f>(97+3+19)/1000</f>
        <v>0.11899999999999999</v>
      </c>
      <c r="F90" s="132">
        <f t="shared" ref="F90:F91" si="26">ROUND(E90*1.03,3)</f>
        <v>0.123</v>
      </c>
      <c r="G90" s="6"/>
      <c r="H90" s="6">
        <f t="shared" ref="H90" si="27">G90*F90</f>
        <v>0</v>
      </c>
      <c r="I90" s="6"/>
      <c r="J90" s="6"/>
      <c r="K90" s="6"/>
      <c r="L90" s="6"/>
      <c r="M90" s="109">
        <f t="shared" si="25"/>
        <v>0</v>
      </c>
    </row>
    <row r="91" spans="1:13" s="20" customFormat="1" ht="19.95" customHeight="1">
      <c r="A91" s="108"/>
      <c r="B91" s="192" t="s">
        <v>152</v>
      </c>
      <c r="C91" s="196" t="s">
        <v>151</v>
      </c>
      <c r="D91" s="197" t="s">
        <v>19</v>
      </c>
      <c r="E91" s="133">
        <f>(4745+60+16+308+86+776+111)/1000</f>
        <v>6.1020000000000003</v>
      </c>
      <c r="F91" s="132">
        <f t="shared" si="26"/>
        <v>6.2850000000000001</v>
      </c>
      <c r="G91" s="6"/>
      <c r="H91" s="6">
        <f>F91*G91</f>
        <v>0</v>
      </c>
      <c r="I91" s="6"/>
      <c r="J91" s="6"/>
      <c r="K91" s="6"/>
      <c r="L91" s="6"/>
      <c r="M91" s="109">
        <f t="shared" si="25"/>
        <v>0</v>
      </c>
    </row>
    <row r="92" spans="1:13" s="20" customFormat="1" ht="21.6" customHeight="1">
      <c r="A92" s="108"/>
      <c r="B92" s="198" t="s">
        <v>24</v>
      </c>
      <c r="C92" s="186" t="s">
        <v>25</v>
      </c>
      <c r="D92" s="184" t="s">
        <v>13</v>
      </c>
      <c r="E92" s="131"/>
      <c r="F92" s="131">
        <f>F88</f>
        <v>77.8</v>
      </c>
      <c r="G92" s="6"/>
      <c r="H92" s="6">
        <f t="shared" ref="H92:H93" si="28">G92*F92</f>
        <v>0</v>
      </c>
      <c r="I92" s="6"/>
      <c r="J92" s="6"/>
      <c r="K92" s="6"/>
      <c r="L92" s="6"/>
      <c r="M92" s="109">
        <f t="shared" si="25"/>
        <v>0</v>
      </c>
    </row>
    <row r="93" spans="1:13" s="20" customFormat="1" ht="21.6" customHeight="1">
      <c r="A93" s="108"/>
      <c r="B93" s="199" t="s">
        <v>22</v>
      </c>
      <c r="C93" s="186" t="s">
        <v>23</v>
      </c>
      <c r="D93" s="184" t="s">
        <v>13</v>
      </c>
      <c r="E93" s="131"/>
      <c r="F93" s="131">
        <f>F88</f>
        <v>77.8</v>
      </c>
      <c r="G93" s="6"/>
      <c r="H93" s="6">
        <f t="shared" si="28"/>
        <v>0</v>
      </c>
      <c r="I93" s="6"/>
      <c r="J93" s="6"/>
      <c r="K93" s="6"/>
      <c r="L93" s="6"/>
      <c r="M93" s="109">
        <f t="shared" si="25"/>
        <v>0</v>
      </c>
    </row>
    <row r="94" spans="1:13" s="20" customFormat="1" ht="48.6" customHeight="1">
      <c r="A94" s="108">
        <v>16</v>
      </c>
      <c r="B94" s="193" t="s">
        <v>175</v>
      </c>
      <c r="C94" s="188" t="s">
        <v>127</v>
      </c>
      <c r="D94" s="184" t="s">
        <v>13</v>
      </c>
      <c r="E94" s="131"/>
      <c r="F94" s="130">
        <f>36+2</f>
        <v>38</v>
      </c>
      <c r="G94" s="6"/>
      <c r="H94" s="6"/>
      <c r="I94" s="6"/>
      <c r="J94" s="6"/>
      <c r="K94" s="6"/>
      <c r="L94" s="6"/>
      <c r="M94" s="109"/>
    </row>
    <row r="95" spans="1:13" s="20" customFormat="1" ht="19.95" customHeight="1">
      <c r="A95" s="108"/>
      <c r="B95" s="186" t="s">
        <v>64</v>
      </c>
      <c r="C95" s="186" t="s">
        <v>67</v>
      </c>
      <c r="D95" s="184" t="s">
        <v>13</v>
      </c>
      <c r="E95" s="132">
        <v>1.0149999999999999</v>
      </c>
      <c r="F95" s="131">
        <f>E95*F94</f>
        <v>38.569999999999993</v>
      </c>
      <c r="G95" s="6"/>
      <c r="H95" s="6">
        <f>G95*F95</f>
        <v>0</v>
      </c>
      <c r="I95" s="6"/>
      <c r="J95" s="6"/>
      <c r="K95" s="6"/>
      <c r="L95" s="6">
        <f>K95*F95</f>
        <v>0</v>
      </c>
      <c r="M95" s="109">
        <f t="shared" si="25"/>
        <v>0</v>
      </c>
    </row>
    <row r="96" spans="1:13" s="20" customFormat="1" ht="19.95" customHeight="1">
      <c r="A96" s="108"/>
      <c r="B96" s="192" t="s">
        <v>154</v>
      </c>
      <c r="C96" s="196" t="s">
        <v>153</v>
      </c>
      <c r="D96" s="197" t="s">
        <v>19</v>
      </c>
      <c r="E96" s="133">
        <f>(43+2)/1000</f>
        <v>4.4999999999999998E-2</v>
      </c>
      <c r="F96" s="132">
        <f t="shared" ref="F96:F98" si="29">ROUND(E96*1.03,3)</f>
        <v>4.5999999999999999E-2</v>
      </c>
      <c r="G96" s="6"/>
      <c r="H96" s="6">
        <f t="shared" ref="H96" si="30">G96*F96</f>
        <v>0</v>
      </c>
      <c r="I96" s="6"/>
      <c r="J96" s="6"/>
      <c r="K96" s="6"/>
      <c r="L96" s="6"/>
      <c r="M96" s="109">
        <f t="shared" si="25"/>
        <v>0</v>
      </c>
    </row>
    <row r="97" spans="1:13" s="20" customFormat="1" ht="19.95" customHeight="1">
      <c r="A97" s="108"/>
      <c r="B97" s="192" t="s">
        <v>152</v>
      </c>
      <c r="C97" s="196" t="s">
        <v>151</v>
      </c>
      <c r="D97" s="197" t="s">
        <v>19</v>
      </c>
      <c r="E97" s="133">
        <f>(980+213+10+16+31+55+30+46)/1000</f>
        <v>1.381</v>
      </c>
      <c r="F97" s="132">
        <f t="shared" si="29"/>
        <v>1.4219999999999999</v>
      </c>
      <c r="G97" s="6"/>
      <c r="H97" s="6">
        <f>F97*G97</f>
        <v>0</v>
      </c>
      <c r="I97" s="6"/>
      <c r="J97" s="6"/>
      <c r="K97" s="6"/>
      <c r="L97" s="6"/>
      <c r="M97" s="109">
        <f t="shared" si="25"/>
        <v>0</v>
      </c>
    </row>
    <row r="98" spans="1:13" s="20" customFormat="1" ht="19.95" customHeight="1">
      <c r="A98" s="108"/>
      <c r="B98" s="192" t="s">
        <v>159</v>
      </c>
      <c r="C98" s="196" t="s">
        <v>160</v>
      </c>
      <c r="D98" s="197" t="s">
        <v>19</v>
      </c>
      <c r="E98" s="133">
        <f>(1943+93+186)/1000</f>
        <v>2.222</v>
      </c>
      <c r="F98" s="132">
        <f t="shared" si="29"/>
        <v>2.2890000000000001</v>
      </c>
      <c r="G98" s="6"/>
      <c r="H98" s="6">
        <f>F98*G98</f>
        <v>0</v>
      </c>
      <c r="I98" s="6"/>
      <c r="J98" s="6"/>
      <c r="K98" s="6"/>
      <c r="L98" s="6"/>
      <c r="M98" s="109">
        <f t="shared" si="25"/>
        <v>0</v>
      </c>
    </row>
    <row r="99" spans="1:13" s="20" customFormat="1" ht="21.6" customHeight="1">
      <c r="A99" s="108"/>
      <c r="B99" s="198" t="s">
        <v>24</v>
      </c>
      <c r="C99" s="186" t="s">
        <v>25</v>
      </c>
      <c r="D99" s="184" t="s">
        <v>13</v>
      </c>
      <c r="E99" s="131"/>
      <c r="F99" s="131">
        <f>F94</f>
        <v>38</v>
      </c>
      <c r="G99" s="6"/>
      <c r="H99" s="6">
        <f t="shared" ref="H99:H100" si="31">G99*F99</f>
        <v>0</v>
      </c>
      <c r="I99" s="6"/>
      <c r="J99" s="6"/>
      <c r="K99" s="6"/>
      <c r="L99" s="6"/>
      <c r="M99" s="109">
        <f t="shared" si="25"/>
        <v>0</v>
      </c>
    </row>
    <row r="100" spans="1:13" s="20" customFormat="1" ht="21.6" customHeight="1">
      <c r="A100" s="108"/>
      <c r="B100" s="199" t="s">
        <v>22</v>
      </c>
      <c r="C100" s="186" t="s">
        <v>23</v>
      </c>
      <c r="D100" s="184" t="s">
        <v>13</v>
      </c>
      <c r="E100" s="131"/>
      <c r="F100" s="131">
        <f>F94</f>
        <v>38</v>
      </c>
      <c r="G100" s="6"/>
      <c r="H100" s="6">
        <f t="shared" si="31"/>
        <v>0</v>
      </c>
      <c r="I100" s="6"/>
      <c r="J100" s="6"/>
      <c r="K100" s="6"/>
      <c r="L100" s="6"/>
      <c r="M100" s="109">
        <f t="shared" si="25"/>
        <v>0</v>
      </c>
    </row>
    <row r="101" spans="1:13" s="20" customFormat="1" ht="33" customHeight="1">
      <c r="A101" s="108">
        <v>17</v>
      </c>
      <c r="B101" s="187" t="s">
        <v>176</v>
      </c>
      <c r="C101" s="188" t="s">
        <v>70</v>
      </c>
      <c r="D101" s="184" t="s">
        <v>13</v>
      </c>
      <c r="E101" s="131"/>
      <c r="F101" s="130">
        <f>3.96+1.73+5.4+3.6+2.46+2.67+3.96+0.52+0.52+1.55</f>
        <v>26.37</v>
      </c>
      <c r="G101" s="6"/>
      <c r="H101" s="6"/>
      <c r="I101" s="6"/>
      <c r="J101" s="6"/>
      <c r="K101" s="6"/>
      <c r="L101" s="6"/>
      <c r="M101" s="109"/>
    </row>
    <row r="102" spans="1:13" s="20" customFormat="1" ht="19.95" customHeight="1">
      <c r="A102" s="108"/>
      <c r="B102" s="186" t="s">
        <v>64</v>
      </c>
      <c r="C102" s="186" t="s">
        <v>67</v>
      </c>
      <c r="D102" s="184" t="s">
        <v>13</v>
      </c>
      <c r="E102" s="132">
        <v>1.0149999999999999</v>
      </c>
      <c r="F102" s="131">
        <f>E102*F101</f>
        <v>26.765549999999998</v>
      </c>
      <c r="G102" s="6"/>
      <c r="H102" s="6">
        <f>G102*F102</f>
        <v>0</v>
      </c>
      <c r="I102" s="6"/>
      <c r="J102" s="6"/>
      <c r="K102" s="6"/>
      <c r="L102" s="6">
        <f>K102*F102</f>
        <v>0</v>
      </c>
      <c r="M102" s="109">
        <f t="shared" si="25"/>
        <v>0</v>
      </c>
    </row>
    <row r="103" spans="1:13" s="20" customFormat="1" ht="19.95" customHeight="1">
      <c r="A103" s="108"/>
      <c r="B103" s="192" t="s">
        <v>154</v>
      </c>
      <c r="C103" s="196" t="s">
        <v>153</v>
      </c>
      <c r="D103" s="197" t="s">
        <v>19</v>
      </c>
      <c r="E103" s="133">
        <f>(119+88+46+34+138+103+92+68+73+20+71+20+115+86+19+5+19+5+71+53)/1000</f>
        <v>1.2450000000000001</v>
      </c>
      <c r="F103" s="132">
        <f t="shared" ref="F103:F104" si="32">ROUND(E103*1.03,3)</f>
        <v>1.282</v>
      </c>
      <c r="G103" s="6"/>
      <c r="H103" s="6">
        <f>G103*F103</f>
        <v>0</v>
      </c>
      <c r="I103" s="6"/>
      <c r="J103" s="6"/>
      <c r="K103" s="6"/>
      <c r="L103" s="6"/>
      <c r="M103" s="109">
        <f t="shared" si="25"/>
        <v>0</v>
      </c>
    </row>
    <row r="104" spans="1:13" s="20" customFormat="1" ht="19.95" customHeight="1">
      <c r="A104" s="108"/>
      <c r="B104" s="192" t="s">
        <v>161</v>
      </c>
      <c r="C104" s="196" t="s">
        <v>162</v>
      </c>
      <c r="D104" s="197" t="s">
        <v>19</v>
      </c>
      <c r="E104" s="133">
        <f>(536+215+644+429+228+17+3+228+3+6+215+246+80+80+241)/1000</f>
        <v>3.1709999999999998</v>
      </c>
      <c r="F104" s="132">
        <f t="shared" si="32"/>
        <v>3.266</v>
      </c>
      <c r="G104" s="6"/>
      <c r="H104" s="6">
        <f>F104*G104</f>
        <v>0</v>
      </c>
      <c r="I104" s="6"/>
      <c r="J104" s="6"/>
      <c r="K104" s="6"/>
      <c r="L104" s="6"/>
      <c r="M104" s="109">
        <f t="shared" si="25"/>
        <v>0</v>
      </c>
    </row>
    <row r="105" spans="1:13" s="20" customFormat="1" ht="19.95" customHeight="1">
      <c r="A105" s="108"/>
      <c r="B105" s="198" t="s">
        <v>32</v>
      </c>
      <c r="C105" s="186" t="s">
        <v>33</v>
      </c>
      <c r="D105" s="184" t="s">
        <v>13</v>
      </c>
      <c r="E105" s="131"/>
      <c r="F105" s="131">
        <f>F101</f>
        <v>26.37</v>
      </c>
      <c r="G105" s="6"/>
      <c r="H105" s="6">
        <f>G105*F105</f>
        <v>0</v>
      </c>
      <c r="I105" s="6"/>
      <c r="J105" s="6"/>
      <c r="K105" s="6"/>
      <c r="L105" s="6"/>
      <c r="M105" s="109">
        <f t="shared" si="25"/>
        <v>0</v>
      </c>
    </row>
    <row r="106" spans="1:13" s="20" customFormat="1" ht="21.6" customHeight="1">
      <c r="A106" s="108"/>
      <c r="B106" s="199" t="s">
        <v>22</v>
      </c>
      <c r="C106" s="186" t="s">
        <v>23</v>
      </c>
      <c r="D106" s="184" t="s">
        <v>13</v>
      </c>
      <c r="E106" s="131"/>
      <c r="F106" s="131">
        <f>F101</f>
        <v>26.37</v>
      </c>
      <c r="G106" s="6"/>
      <c r="H106" s="6">
        <f>G106*F106</f>
        <v>0</v>
      </c>
      <c r="I106" s="6"/>
      <c r="J106" s="6"/>
      <c r="K106" s="6"/>
      <c r="L106" s="6"/>
      <c r="M106" s="109">
        <f t="shared" si="25"/>
        <v>0</v>
      </c>
    </row>
    <row r="107" spans="1:13" s="20" customFormat="1" ht="34.950000000000003" customHeight="1">
      <c r="A107" s="108">
        <v>18</v>
      </c>
      <c r="B107" s="187" t="s">
        <v>208</v>
      </c>
      <c r="C107" s="188" t="s">
        <v>76</v>
      </c>
      <c r="D107" s="184" t="s">
        <v>13</v>
      </c>
      <c r="E107" s="131"/>
      <c r="F107" s="130">
        <v>3.1</v>
      </c>
      <c r="G107" s="6"/>
      <c r="H107" s="6"/>
      <c r="I107" s="6"/>
      <c r="J107" s="6"/>
      <c r="K107" s="6"/>
      <c r="L107" s="6"/>
      <c r="M107" s="109"/>
    </row>
    <row r="108" spans="1:13" s="20" customFormat="1" ht="22.2" customHeight="1">
      <c r="A108" s="108"/>
      <c r="B108" s="204" t="s">
        <v>396</v>
      </c>
      <c r="C108" s="204" t="s">
        <v>35</v>
      </c>
      <c r="D108" s="205" t="s">
        <v>34</v>
      </c>
      <c r="E108" s="131">
        <v>22</v>
      </c>
      <c r="F108" s="130"/>
      <c r="G108" s="6"/>
      <c r="H108" s="6"/>
      <c r="I108" s="6"/>
      <c r="J108" s="6">
        <f>I108*E108</f>
        <v>0</v>
      </c>
      <c r="K108" s="6"/>
      <c r="L108" s="6"/>
      <c r="M108" s="109">
        <f>H108+J108+L108</f>
        <v>0</v>
      </c>
    </row>
    <row r="109" spans="1:13" s="20" customFormat="1" ht="19.95" customHeight="1">
      <c r="A109" s="108"/>
      <c r="B109" s="186" t="s">
        <v>64</v>
      </c>
      <c r="C109" s="186" t="s">
        <v>67</v>
      </c>
      <c r="D109" s="184" t="s">
        <v>13</v>
      </c>
      <c r="E109" s="132">
        <v>1.0149999999999999</v>
      </c>
      <c r="F109" s="131">
        <f>E109*F107</f>
        <v>3.1464999999999996</v>
      </c>
      <c r="G109" s="6"/>
      <c r="H109" s="6">
        <f>G109*F109</f>
        <v>0</v>
      </c>
      <c r="I109" s="6"/>
      <c r="J109" s="6"/>
      <c r="K109" s="6"/>
      <c r="L109" s="6">
        <f>K109*F109</f>
        <v>0</v>
      </c>
      <c r="M109" s="109">
        <f t="shared" ref="M109:M113" si="33">L109+J109+H109</f>
        <v>0</v>
      </c>
    </row>
    <row r="110" spans="1:13" s="20" customFormat="1" ht="19.95" customHeight="1">
      <c r="A110" s="108"/>
      <c r="B110" s="192" t="s">
        <v>152</v>
      </c>
      <c r="C110" s="196" t="s">
        <v>151</v>
      </c>
      <c r="D110" s="197" t="s">
        <v>19</v>
      </c>
      <c r="E110" s="133">
        <f>(59+31+25)/1000</f>
        <v>0.115</v>
      </c>
      <c r="F110" s="132">
        <f t="shared" ref="F110:F111" si="34">ROUND(E110*1.03,3)</f>
        <v>0.11799999999999999</v>
      </c>
      <c r="G110" s="6"/>
      <c r="H110" s="6">
        <f>G110*F110</f>
        <v>0</v>
      </c>
      <c r="I110" s="6"/>
      <c r="J110" s="6"/>
      <c r="K110" s="6"/>
      <c r="L110" s="6"/>
      <c r="M110" s="109">
        <f t="shared" si="33"/>
        <v>0</v>
      </c>
    </row>
    <row r="111" spans="1:13" s="20" customFormat="1" ht="19.95" customHeight="1">
      <c r="A111" s="108"/>
      <c r="B111" s="192" t="s">
        <v>159</v>
      </c>
      <c r="C111" s="196" t="s">
        <v>160</v>
      </c>
      <c r="D111" s="197" t="s">
        <v>19</v>
      </c>
      <c r="E111" s="133">
        <f>(193/1000)</f>
        <v>0.193</v>
      </c>
      <c r="F111" s="132">
        <f t="shared" si="34"/>
        <v>0.19900000000000001</v>
      </c>
      <c r="G111" s="6"/>
      <c r="H111" s="6">
        <f>F111*G111</f>
        <v>0</v>
      </c>
      <c r="I111" s="6"/>
      <c r="J111" s="6"/>
      <c r="K111" s="6"/>
      <c r="L111" s="6"/>
      <c r="M111" s="109">
        <f t="shared" si="33"/>
        <v>0</v>
      </c>
    </row>
    <row r="112" spans="1:13" s="20" customFormat="1" ht="19.95" customHeight="1">
      <c r="A112" s="108"/>
      <c r="B112" s="186" t="s">
        <v>36</v>
      </c>
      <c r="C112" s="186" t="s">
        <v>37</v>
      </c>
      <c r="D112" s="184" t="s">
        <v>13</v>
      </c>
      <c r="E112" s="132"/>
      <c r="F112" s="131">
        <f>F107</f>
        <v>3.1</v>
      </c>
      <c r="G112" s="6"/>
      <c r="H112" s="6">
        <f>G112*F112</f>
        <v>0</v>
      </c>
      <c r="I112" s="6"/>
      <c r="J112" s="6"/>
      <c r="K112" s="6"/>
      <c r="L112" s="6"/>
      <c r="M112" s="109">
        <f t="shared" si="33"/>
        <v>0</v>
      </c>
    </row>
    <row r="113" spans="1:13" s="20" customFormat="1" ht="19.95" customHeight="1">
      <c r="A113" s="108"/>
      <c r="B113" s="199" t="s">
        <v>22</v>
      </c>
      <c r="C113" s="186" t="s">
        <v>23</v>
      </c>
      <c r="D113" s="184" t="s">
        <v>13</v>
      </c>
      <c r="E113" s="131"/>
      <c r="F113" s="131">
        <f>F107</f>
        <v>3.1</v>
      </c>
      <c r="G113" s="6"/>
      <c r="H113" s="6">
        <f>G113*F113</f>
        <v>0</v>
      </c>
      <c r="I113" s="6"/>
      <c r="J113" s="6"/>
      <c r="K113" s="6"/>
      <c r="L113" s="6"/>
      <c r="M113" s="109">
        <f t="shared" si="33"/>
        <v>0</v>
      </c>
    </row>
    <row r="114" spans="1:13" s="20" customFormat="1" ht="19.95" customHeight="1">
      <c r="A114" s="14"/>
      <c r="B114" s="180" t="s">
        <v>51</v>
      </c>
      <c r="C114" s="181" t="s">
        <v>53</v>
      </c>
      <c r="D114" s="169"/>
      <c r="E114" s="125"/>
      <c r="F114" s="125"/>
      <c r="G114" s="4"/>
      <c r="H114" s="4"/>
      <c r="I114" s="4"/>
      <c r="J114" s="4"/>
      <c r="K114" s="4"/>
      <c r="L114" s="4"/>
      <c r="M114" s="94"/>
    </row>
    <row r="115" spans="1:13" s="20" customFormat="1" ht="48.6" customHeight="1">
      <c r="A115" s="91">
        <v>19</v>
      </c>
      <c r="B115" s="172" t="s">
        <v>177</v>
      </c>
      <c r="C115" s="163" t="s">
        <v>140</v>
      </c>
      <c r="D115" s="159" t="s">
        <v>13</v>
      </c>
      <c r="E115" s="124"/>
      <c r="F115" s="123">
        <f>33+2</f>
        <v>35</v>
      </c>
      <c r="G115" s="3"/>
      <c r="H115" s="3"/>
      <c r="I115" s="3"/>
      <c r="J115" s="3"/>
      <c r="K115" s="3"/>
      <c r="L115" s="3"/>
      <c r="M115" s="92"/>
    </row>
    <row r="116" spans="1:13" s="20" customFormat="1" ht="19.95" customHeight="1">
      <c r="A116" s="91"/>
      <c r="B116" s="175" t="s">
        <v>64</v>
      </c>
      <c r="C116" s="161" t="s">
        <v>67</v>
      </c>
      <c r="D116" s="159" t="s">
        <v>13</v>
      </c>
      <c r="E116" s="127">
        <v>1.0149999999999999</v>
      </c>
      <c r="F116" s="124">
        <f>E116*F115</f>
        <v>35.524999999999999</v>
      </c>
      <c r="G116" s="3"/>
      <c r="H116" s="3">
        <f>G116*F116</f>
        <v>0</v>
      </c>
      <c r="I116" s="3"/>
      <c r="J116" s="3"/>
      <c r="K116" s="3"/>
      <c r="L116" s="3">
        <f>K116*F116</f>
        <v>0</v>
      </c>
      <c r="M116" s="92">
        <f t="shared" ref="M115:M127" si="35">L116+J116+H116</f>
        <v>0</v>
      </c>
    </row>
    <row r="117" spans="1:13" s="20" customFormat="1" ht="19.95" customHeight="1">
      <c r="A117" s="91"/>
      <c r="B117" s="166" t="s">
        <v>154</v>
      </c>
      <c r="C117" s="176" t="s">
        <v>153</v>
      </c>
      <c r="D117" s="177" t="s">
        <v>19</v>
      </c>
      <c r="E117" s="128">
        <f>(36+2)/1000</f>
        <v>3.7999999999999999E-2</v>
      </c>
      <c r="F117" s="127">
        <f t="shared" ref="F117:F119" si="36">ROUND(E117*1.03,3)</f>
        <v>3.9E-2</v>
      </c>
      <c r="G117" s="3"/>
      <c r="H117" s="3">
        <f t="shared" ref="H117" si="37">G117*F117</f>
        <v>0</v>
      </c>
      <c r="I117" s="3"/>
      <c r="J117" s="3"/>
      <c r="K117" s="3"/>
      <c r="L117" s="3"/>
      <c r="M117" s="92">
        <f t="shared" si="35"/>
        <v>0</v>
      </c>
    </row>
    <row r="118" spans="1:13" s="20" customFormat="1" ht="19.95" customHeight="1">
      <c r="A118" s="91"/>
      <c r="B118" s="166" t="s">
        <v>152</v>
      </c>
      <c r="C118" s="176" t="s">
        <v>151</v>
      </c>
      <c r="D118" s="177" t="s">
        <v>19</v>
      </c>
      <c r="E118" s="128">
        <f>(850+226+10+11+16+38+45+55+28+43)/1000</f>
        <v>1.3220000000000001</v>
      </c>
      <c r="F118" s="127">
        <f t="shared" si="36"/>
        <v>1.3620000000000001</v>
      </c>
      <c r="G118" s="3"/>
      <c r="H118" s="3">
        <f>F118*G118</f>
        <v>0</v>
      </c>
      <c r="I118" s="3"/>
      <c r="J118" s="3"/>
      <c r="K118" s="3"/>
      <c r="L118" s="3"/>
      <c r="M118" s="92">
        <f t="shared" si="35"/>
        <v>0</v>
      </c>
    </row>
    <row r="119" spans="1:13" s="20" customFormat="1" ht="19.95" customHeight="1">
      <c r="A119" s="91"/>
      <c r="B119" s="166" t="s">
        <v>159</v>
      </c>
      <c r="C119" s="176" t="s">
        <v>160</v>
      </c>
      <c r="D119" s="177" t="s">
        <v>19</v>
      </c>
      <c r="E119" s="128">
        <f>(1863+113+195)/1000</f>
        <v>2.1709999999999998</v>
      </c>
      <c r="F119" s="127">
        <f t="shared" si="36"/>
        <v>2.2360000000000002</v>
      </c>
      <c r="G119" s="3"/>
      <c r="H119" s="3">
        <f>F119*G119</f>
        <v>0</v>
      </c>
      <c r="I119" s="3"/>
      <c r="J119" s="3"/>
      <c r="K119" s="3"/>
      <c r="L119" s="3"/>
      <c r="M119" s="92">
        <f t="shared" ref="M119" si="38">L119+J119+H119</f>
        <v>0</v>
      </c>
    </row>
    <row r="120" spans="1:13" s="20" customFormat="1" ht="21.6" customHeight="1">
      <c r="A120" s="91"/>
      <c r="B120" s="178" t="s">
        <v>24</v>
      </c>
      <c r="C120" s="161" t="s">
        <v>25</v>
      </c>
      <c r="D120" s="159" t="s">
        <v>13</v>
      </c>
      <c r="E120" s="124"/>
      <c r="F120" s="124">
        <f>F115</f>
        <v>35</v>
      </c>
      <c r="G120" s="3"/>
      <c r="H120" s="3">
        <f t="shared" ref="H120:H121" si="39">G120*F120</f>
        <v>0</v>
      </c>
      <c r="I120" s="3"/>
      <c r="J120" s="3"/>
      <c r="K120" s="3"/>
      <c r="L120" s="3"/>
      <c r="M120" s="92">
        <f t="shared" si="35"/>
        <v>0</v>
      </c>
    </row>
    <row r="121" spans="1:13" s="20" customFormat="1" ht="21.6" customHeight="1">
      <c r="A121" s="91"/>
      <c r="B121" s="179" t="s">
        <v>22</v>
      </c>
      <c r="C121" s="161" t="s">
        <v>23</v>
      </c>
      <c r="D121" s="159" t="s">
        <v>13</v>
      </c>
      <c r="E121" s="124"/>
      <c r="F121" s="124">
        <f>F115</f>
        <v>35</v>
      </c>
      <c r="G121" s="3"/>
      <c r="H121" s="3">
        <f t="shared" si="39"/>
        <v>0</v>
      </c>
      <c r="I121" s="3"/>
      <c r="J121" s="3"/>
      <c r="K121" s="3"/>
      <c r="L121" s="3"/>
      <c r="M121" s="92">
        <f t="shared" si="35"/>
        <v>0</v>
      </c>
    </row>
    <row r="122" spans="1:13" s="20" customFormat="1" ht="33" customHeight="1">
      <c r="A122" s="91">
        <v>20</v>
      </c>
      <c r="B122" s="162" t="s">
        <v>176</v>
      </c>
      <c r="C122" s="163" t="s">
        <v>70</v>
      </c>
      <c r="D122" s="159" t="s">
        <v>13</v>
      </c>
      <c r="E122" s="124"/>
      <c r="F122" s="123">
        <f>4.03+1.61+5.25+3.22+2.25+2.45+0.48+0.48+2.42</f>
        <v>22.189999999999998</v>
      </c>
      <c r="G122" s="3"/>
      <c r="H122" s="3"/>
      <c r="I122" s="3"/>
      <c r="J122" s="3"/>
      <c r="K122" s="3"/>
      <c r="L122" s="3"/>
      <c r="M122" s="92"/>
    </row>
    <row r="123" spans="1:13" s="20" customFormat="1" ht="19.95" customHeight="1">
      <c r="A123" s="91"/>
      <c r="B123" s="175" t="s">
        <v>64</v>
      </c>
      <c r="C123" s="161" t="s">
        <v>67</v>
      </c>
      <c r="D123" s="159" t="s">
        <v>13</v>
      </c>
      <c r="E123" s="127">
        <v>1.0149999999999999</v>
      </c>
      <c r="F123" s="124">
        <f>E123*F122</f>
        <v>22.522849999999995</v>
      </c>
      <c r="G123" s="3"/>
      <c r="H123" s="3">
        <f>G123*F123</f>
        <v>0</v>
      </c>
      <c r="I123" s="3"/>
      <c r="J123" s="3"/>
      <c r="K123" s="3"/>
      <c r="L123" s="3">
        <f>K123*F123</f>
        <v>0</v>
      </c>
      <c r="M123" s="92">
        <f t="shared" si="35"/>
        <v>0</v>
      </c>
    </row>
    <row r="124" spans="1:13" s="20" customFormat="1" ht="19.95" customHeight="1">
      <c r="A124" s="91"/>
      <c r="B124" s="166" t="s">
        <v>154</v>
      </c>
      <c r="C124" s="176" t="s">
        <v>153</v>
      </c>
      <c r="D124" s="177" t="s">
        <v>19</v>
      </c>
      <c r="E124" s="128">
        <f>(111+83+44+33+125+93+89+66+69+19+69+19+18+5+18+5+67+50)/1000</f>
        <v>0.98299999999999998</v>
      </c>
      <c r="F124" s="127">
        <f t="shared" ref="F124:F125" si="40">ROUND(E124*1.03,3)</f>
        <v>1.012</v>
      </c>
      <c r="G124" s="3"/>
      <c r="H124" s="3">
        <f>G124*F124</f>
        <v>0</v>
      </c>
      <c r="I124" s="3"/>
      <c r="J124" s="3"/>
      <c r="K124" s="3"/>
      <c r="L124" s="3"/>
      <c r="M124" s="92">
        <f t="shared" si="35"/>
        <v>0</v>
      </c>
    </row>
    <row r="125" spans="1:13" s="20" customFormat="1" ht="19.95" customHeight="1">
      <c r="A125" s="91"/>
      <c r="B125" s="166" t="s">
        <v>161</v>
      </c>
      <c r="C125" s="176" t="s">
        <v>162</v>
      </c>
      <c r="D125" s="177" t="s">
        <v>19</v>
      </c>
      <c r="E125" s="128">
        <f>(8+8)/1000</f>
        <v>1.6E-2</v>
      </c>
      <c r="F125" s="127">
        <f t="shared" si="40"/>
        <v>1.6E-2</v>
      </c>
      <c r="G125" s="3"/>
      <c r="H125" s="3">
        <f>F125*G125</f>
        <v>0</v>
      </c>
      <c r="I125" s="3"/>
      <c r="J125" s="3"/>
      <c r="K125" s="3"/>
      <c r="L125" s="3"/>
      <c r="M125" s="92">
        <f t="shared" si="35"/>
        <v>0</v>
      </c>
    </row>
    <row r="126" spans="1:13" s="20" customFormat="1" ht="19.95" customHeight="1">
      <c r="A126" s="91"/>
      <c r="B126" s="178" t="s">
        <v>32</v>
      </c>
      <c r="C126" s="161" t="s">
        <v>33</v>
      </c>
      <c r="D126" s="159" t="s">
        <v>13</v>
      </c>
      <c r="E126" s="124"/>
      <c r="F126" s="124">
        <f>F122</f>
        <v>22.189999999999998</v>
      </c>
      <c r="G126" s="3"/>
      <c r="H126" s="3">
        <f>G126*F126</f>
        <v>0</v>
      </c>
      <c r="I126" s="3"/>
      <c r="J126" s="3"/>
      <c r="K126" s="3"/>
      <c r="L126" s="3"/>
      <c r="M126" s="92">
        <f t="shared" si="35"/>
        <v>0</v>
      </c>
    </row>
    <row r="127" spans="1:13" s="20" customFormat="1" ht="21.6" customHeight="1">
      <c r="A127" s="91"/>
      <c r="B127" s="179" t="s">
        <v>22</v>
      </c>
      <c r="C127" s="161" t="s">
        <v>23</v>
      </c>
      <c r="D127" s="159" t="s">
        <v>13</v>
      </c>
      <c r="E127" s="124"/>
      <c r="F127" s="124">
        <f>F122</f>
        <v>22.189999999999998</v>
      </c>
      <c r="G127" s="3"/>
      <c r="H127" s="3">
        <f>G127*F127</f>
        <v>0</v>
      </c>
      <c r="I127" s="3"/>
      <c r="J127" s="3"/>
      <c r="K127" s="3"/>
      <c r="L127" s="3"/>
      <c r="M127" s="92">
        <f t="shared" si="35"/>
        <v>0</v>
      </c>
    </row>
    <row r="128" spans="1:13" s="20" customFormat="1" ht="34.950000000000003" customHeight="1">
      <c r="A128" s="91">
        <v>21</v>
      </c>
      <c r="B128" s="162" t="s">
        <v>73</v>
      </c>
      <c r="C128" s="163" t="s">
        <v>74</v>
      </c>
      <c r="D128" s="159" t="s">
        <v>13</v>
      </c>
      <c r="E128" s="124"/>
      <c r="F128" s="123">
        <v>3.1</v>
      </c>
      <c r="G128" s="3"/>
      <c r="H128" s="3"/>
      <c r="I128" s="3"/>
      <c r="J128" s="3"/>
      <c r="K128" s="3"/>
      <c r="L128" s="3"/>
      <c r="M128" s="92"/>
    </row>
    <row r="129" spans="1:13" s="20" customFormat="1" ht="22.2" customHeight="1">
      <c r="A129" s="91"/>
      <c r="B129" s="202" t="s">
        <v>396</v>
      </c>
      <c r="C129" s="202" t="s">
        <v>35</v>
      </c>
      <c r="D129" s="203" t="s">
        <v>34</v>
      </c>
      <c r="E129" s="124">
        <v>22</v>
      </c>
      <c r="F129" s="123"/>
      <c r="G129" s="3"/>
      <c r="H129" s="3"/>
      <c r="I129" s="3"/>
      <c r="J129" s="3">
        <f>I129*E129</f>
        <v>0</v>
      </c>
      <c r="K129" s="3"/>
      <c r="L129" s="3"/>
      <c r="M129" s="92">
        <f>H129+J129+L129</f>
        <v>0</v>
      </c>
    </row>
    <row r="130" spans="1:13" s="20" customFormat="1" ht="19.95" customHeight="1">
      <c r="A130" s="91"/>
      <c r="B130" s="175" t="s">
        <v>64</v>
      </c>
      <c r="C130" s="161" t="s">
        <v>67</v>
      </c>
      <c r="D130" s="159" t="s">
        <v>13</v>
      </c>
      <c r="E130" s="127">
        <v>1.0149999999999999</v>
      </c>
      <c r="F130" s="124">
        <f>E130*F128</f>
        <v>3.1464999999999996</v>
      </c>
      <c r="G130" s="3"/>
      <c r="H130" s="3">
        <f>G130*F130</f>
        <v>0</v>
      </c>
      <c r="I130" s="3"/>
      <c r="J130" s="3"/>
      <c r="K130" s="3"/>
      <c r="L130" s="3">
        <f>K130*F130</f>
        <v>0</v>
      </c>
      <c r="M130" s="92">
        <f t="shared" ref="M130:M148" si="41">L130+J130+H130</f>
        <v>0</v>
      </c>
    </row>
    <row r="131" spans="1:13" s="20" customFormat="1" ht="19.95" customHeight="1">
      <c r="A131" s="91"/>
      <c r="B131" s="166" t="s">
        <v>152</v>
      </c>
      <c r="C131" s="176" t="s">
        <v>151</v>
      </c>
      <c r="D131" s="177" t="s">
        <v>19</v>
      </c>
      <c r="E131" s="128">
        <f>(62+33+26)/1000</f>
        <v>0.121</v>
      </c>
      <c r="F131" s="127">
        <f t="shared" ref="F131:F132" si="42">ROUND(E131*1.03,3)</f>
        <v>0.125</v>
      </c>
      <c r="G131" s="3"/>
      <c r="H131" s="3">
        <f>G131*F131</f>
        <v>0</v>
      </c>
      <c r="I131" s="3"/>
      <c r="J131" s="3"/>
      <c r="K131" s="3"/>
      <c r="L131" s="3"/>
      <c r="M131" s="92">
        <f t="shared" si="41"/>
        <v>0</v>
      </c>
    </row>
    <row r="132" spans="1:13" s="20" customFormat="1" ht="19.95" customHeight="1">
      <c r="A132" s="91"/>
      <c r="B132" s="166" t="s">
        <v>159</v>
      </c>
      <c r="C132" s="176" t="s">
        <v>160</v>
      </c>
      <c r="D132" s="177" t="s">
        <v>19</v>
      </c>
      <c r="E132" s="128">
        <f>(197/1000)</f>
        <v>0.19700000000000001</v>
      </c>
      <c r="F132" s="127">
        <f t="shared" si="42"/>
        <v>0.20300000000000001</v>
      </c>
      <c r="G132" s="3"/>
      <c r="H132" s="3">
        <f>F132*G132</f>
        <v>0</v>
      </c>
      <c r="I132" s="3"/>
      <c r="J132" s="3"/>
      <c r="K132" s="3"/>
      <c r="L132" s="3"/>
      <c r="M132" s="92">
        <f t="shared" si="41"/>
        <v>0</v>
      </c>
    </row>
    <row r="133" spans="1:13" s="20" customFormat="1" ht="19.95" customHeight="1">
      <c r="A133" s="91"/>
      <c r="B133" s="161" t="s">
        <v>36</v>
      </c>
      <c r="C133" s="161" t="s">
        <v>37</v>
      </c>
      <c r="D133" s="159" t="s">
        <v>13</v>
      </c>
      <c r="E133" s="127"/>
      <c r="F133" s="124">
        <f>F128</f>
        <v>3.1</v>
      </c>
      <c r="G133" s="3"/>
      <c r="H133" s="3">
        <f>G133*F133</f>
        <v>0</v>
      </c>
      <c r="I133" s="3"/>
      <c r="J133" s="3"/>
      <c r="K133" s="3"/>
      <c r="L133" s="3"/>
      <c r="M133" s="92">
        <f t="shared" si="41"/>
        <v>0</v>
      </c>
    </row>
    <row r="134" spans="1:13" s="20" customFormat="1" ht="19.95" customHeight="1">
      <c r="A134" s="91"/>
      <c r="B134" s="179" t="s">
        <v>22</v>
      </c>
      <c r="C134" s="161" t="s">
        <v>23</v>
      </c>
      <c r="D134" s="159" t="s">
        <v>13</v>
      </c>
      <c r="E134" s="124"/>
      <c r="F134" s="124">
        <f>F128</f>
        <v>3.1</v>
      </c>
      <c r="G134" s="3"/>
      <c r="H134" s="3">
        <f>G134*F134</f>
        <v>0</v>
      </c>
      <c r="I134" s="3"/>
      <c r="J134" s="3"/>
      <c r="K134" s="3"/>
      <c r="L134" s="3"/>
      <c r="M134" s="92">
        <f t="shared" si="41"/>
        <v>0</v>
      </c>
    </row>
    <row r="135" spans="1:13" s="20" customFormat="1" ht="49.95" customHeight="1">
      <c r="A135" s="91">
        <v>22</v>
      </c>
      <c r="B135" s="172" t="s">
        <v>178</v>
      </c>
      <c r="C135" s="163" t="s">
        <v>75</v>
      </c>
      <c r="D135" s="159" t="s">
        <v>13</v>
      </c>
      <c r="E135" s="124"/>
      <c r="F135" s="123">
        <f>19+0.5</f>
        <v>19.5</v>
      </c>
      <c r="G135" s="3"/>
      <c r="H135" s="3"/>
      <c r="I135" s="3"/>
      <c r="J135" s="3"/>
      <c r="K135" s="3"/>
      <c r="L135" s="3"/>
      <c r="M135" s="92"/>
    </row>
    <row r="136" spans="1:13" s="20" customFormat="1" ht="19.95" customHeight="1">
      <c r="A136" s="91"/>
      <c r="B136" s="175" t="s">
        <v>64</v>
      </c>
      <c r="C136" s="161" t="s">
        <v>67</v>
      </c>
      <c r="D136" s="159" t="s">
        <v>13</v>
      </c>
      <c r="E136" s="127">
        <v>1.0149999999999999</v>
      </c>
      <c r="F136" s="124">
        <f>E136*F135</f>
        <v>19.792499999999997</v>
      </c>
      <c r="G136" s="3"/>
      <c r="H136" s="3">
        <f>G136*F136</f>
        <v>0</v>
      </c>
      <c r="I136" s="3"/>
      <c r="J136" s="3"/>
      <c r="K136" s="3"/>
      <c r="L136" s="3">
        <f>K136*F136</f>
        <v>0</v>
      </c>
      <c r="M136" s="92">
        <f t="shared" si="41"/>
        <v>0</v>
      </c>
    </row>
    <row r="137" spans="1:13" s="20" customFormat="1" ht="19.2" customHeight="1">
      <c r="A137" s="91"/>
      <c r="B137" s="166" t="s">
        <v>154</v>
      </c>
      <c r="C137" s="176" t="s">
        <v>153</v>
      </c>
      <c r="D137" s="177" t="s">
        <v>19</v>
      </c>
      <c r="E137" s="128">
        <f>(699+14)/1000</f>
        <v>0.71299999999999997</v>
      </c>
      <c r="F137" s="127">
        <f t="shared" ref="F137:F139" si="43">ROUND(E137*1.03,3)</f>
        <v>0.73399999999999999</v>
      </c>
      <c r="G137" s="3"/>
      <c r="H137" s="3">
        <f>F137*G137</f>
        <v>0</v>
      </c>
      <c r="I137" s="3"/>
      <c r="J137" s="3"/>
      <c r="K137" s="3"/>
      <c r="L137" s="3"/>
      <c r="M137" s="92">
        <f t="shared" si="41"/>
        <v>0</v>
      </c>
    </row>
    <row r="138" spans="1:13" s="20" customFormat="1" ht="19.95" customHeight="1">
      <c r="A138" s="91"/>
      <c r="B138" s="161" t="s">
        <v>157</v>
      </c>
      <c r="C138" s="161" t="s">
        <v>158</v>
      </c>
      <c r="D138" s="177" t="s">
        <v>19</v>
      </c>
      <c r="E138" s="128">
        <f>(1001+35)/1000</f>
        <v>1.036</v>
      </c>
      <c r="F138" s="127">
        <f t="shared" si="43"/>
        <v>1.0669999999999999</v>
      </c>
      <c r="G138" s="3"/>
      <c r="H138" s="3">
        <f>F138*G138</f>
        <v>0</v>
      </c>
      <c r="I138" s="3"/>
      <c r="J138" s="3"/>
      <c r="K138" s="3"/>
      <c r="L138" s="3"/>
      <c r="M138" s="92">
        <f t="shared" si="41"/>
        <v>0</v>
      </c>
    </row>
    <row r="139" spans="1:13" s="20" customFormat="1" ht="19.95" customHeight="1">
      <c r="A139" s="91"/>
      <c r="B139" s="176" t="s">
        <v>155</v>
      </c>
      <c r="C139" s="176" t="s">
        <v>156</v>
      </c>
      <c r="D139" s="177" t="s">
        <v>19</v>
      </c>
      <c r="E139" s="128">
        <f>(1848+54)/1000</f>
        <v>1.9019999999999999</v>
      </c>
      <c r="F139" s="127">
        <f t="shared" si="43"/>
        <v>1.9590000000000001</v>
      </c>
      <c r="G139" s="3"/>
      <c r="H139" s="3">
        <f>F139*G139</f>
        <v>0</v>
      </c>
      <c r="I139" s="3"/>
      <c r="J139" s="3"/>
      <c r="K139" s="3"/>
      <c r="L139" s="3"/>
      <c r="M139" s="92">
        <f t="shared" si="41"/>
        <v>0</v>
      </c>
    </row>
    <row r="140" spans="1:13" s="20" customFormat="1" ht="20.399999999999999" customHeight="1">
      <c r="A140" s="91"/>
      <c r="B140" s="161" t="s">
        <v>30</v>
      </c>
      <c r="C140" s="161" t="s">
        <v>31</v>
      </c>
      <c r="D140" s="159" t="s">
        <v>13</v>
      </c>
      <c r="E140" s="127"/>
      <c r="F140" s="127">
        <f>F135</f>
        <v>19.5</v>
      </c>
      <c r="G140" s="3"/>
      <c r="H140" s="3">
        <f>G140*F140</f>
        <v>0</v>
      </c>
      <c r="I140" s="3"/>
      <c r="J140" s="3"/>
      <c r="K140" s="3"/>
      <c r="L140" s="3"/>
      <c r="M140" s="92">
        <f t="shared" si="41"/>
        <v>0</v>
      </c>
    </row>
    <row r="141" spans="1:13" s="20" customFormat="1" ht="19.95" customHeight="1">
      <c r="A141" s="91"/>
      <c r="B141" s="179" t="s">
        <v>22</v>
      </c>
      <c r="C141" s="161" t="s">
        <v>23</v>
      </c>
      <c r="D141" s="159" t="s">
        <v>13</v>
      </c>
      <c r="E141" s="124"/>
      <c r="F141" s="124">
        <f>F135</f>
        <v>19.5</v>
      </c>
      <c r="G141" s="3"/>
      <c r="H141" s="3">
        <f>G141*F141</f>
        <v>0</v>
      </c>
      <c r="I141" s="3"/>
      <c r="J141" s="3"/>
      <c r="K141" s="3"/>
      <c r="L141" s="3"/>
      <c r="M141" s="92">
        <f t="shared" si="41"/>
        <v>0</v>
      </c>
    </row>
    <row r="142" spans="1:13" s="20" customFormat="1" ht="49.2" customHeight="1">
      <c r="A142" s="91">
        <v>23</v>
      </c>
      <c r="B142" s="162" t="s">
        <v>209</v>
      </c>
      <c r="C142" s="163" t="s">
        <v>66</v>
      </c>
      <c r="D142" s="159" t="s">
        <v>13</v>
      </c>
      <c r="E142" s="124"/>
      <c r="F142" s="123">
        <v>198.62</v>
      </c>
      <c r="G142" s="3"/>
      <c r="H142" s="3"/>
      <c r="I142" s="3"/>
      <c r="J142" s="3"/>
      <c r="K142" s="3"/>
      <c r="L142" s="3"/>
      <c r="M142" s="92"/>
    </row>
    <row r="143" spans="1:13" s="20" customFormat="1" ht="22.95" customHeight="1">
      <c r="A143" s="91"/>
      <c r="B143" s="179" t="s">
        <v>26</v>
      </c>
      <c r="C143" s="202" t="s">
        <v>27</v>
      </c>
      <c r="D143" s="174" t="s">
        <v>16</v>
      </c>
      <c r="E143" s="124">
        <f>F142/0.22</f>
        <v>902.81818181818187</v>
      </c>
      <c r="F143" s="123"/>
      <c r="G143" s="3"/>
      <c r="H143" s="3"/>
      <c r="I143" s="3"/>
      <c r="J143" s="3">
        <f>I143*E143</f>
        <v>0</v>
      </c>
      <c r="K143" s="3"/>
      <c r="L143" s="3"/>
      <c r="M143" s="92">
        <f t="shared" si="41"/>
        <v>0</v>
      </c>
    </row>
    <row r="144" spans="1:13" s="20" customFormat="1" ht="20.399999999999999" customHeight="1">
      <c r="A144" s="91"/>
      <c r="B144" s="175" t="s">
        <v>64</v>
      </c>
      <c r="C144" s="161" t="s">
        <v>67</v>
      </c>
      <c r="D144" s="159" t="s">
        <v>13</v>
      </c>
      <c r="E144" s="127">
        <v>1.0149999999999999</v>
      </c>
      <c r="F144" s="124">
        <f>E144*F142</f>
        <v>201.59929999999997</v>
      </c>
      <c r="G144" s="3"/>
      <c r="H144" s="3">
        <f>G144*F144</f>
        <v>0</v>
      </c>
      <c r="I144" s="3"/>
      <c r="J144" s="3"/>
      <c r="K144" s="3"/>
      <c r="L144" s="3">
        <f>K144*F144</f>
        <v>0</v>
      </c>
      <c r="M144" s="92">
        <f t="shared" si="41"/>
        <v>0</v>
      </c>
    </row>
    <row r="145" spans="1:13" s="20" customFormat="1" ht="19.95" customHeight="1">
      <c r="A145" s="91"/>
      <c r="B145" s="166" t="s">
        <v>159</v>
      </c>
      <c r="C145" s="176" t="s">
        <v>160</v>
      </c>
      <c r="D145" s="177" t="s">
        <v>19</v>
      </c>
      <c r="E145" s="128">
        <f>(18264+2420+362+89+20+11+627+691+329+33+109+1445+1213)/1000</f>
        <v>25.613</v>
      </c>
      <c r="F145" s="127">
        <f t="shared" ref="F145:F146" si="44">ROUND(E145*1.03,3)</f>
        <v>26.381</v>
      </c>
      <c r="G145" s="3"/>
      <c r="H145" s="3">
        <f>F145*G145</f>
        <v>0</v>
      </c>
      <c r="I145" s="3"/>
      <c r="J145" s="3"/>
      <c r="K145" s="3"/>
      <c r="L145" s="3"/>
      <c r="M145" s="92">
        <f t="shared" si="41"/>
        <v>0</v>
      </c>
    </row>
    <row r="146" spans="1:13" s="20" customFormat="1" ht="19.95" customHeight="1">
      <c r="A146" s="91"/>
      <c r="B146" s="166" t="s">
        <v>161</v>
      </c>
      <c r="C146" s="176" t="s">
        <v>162</v>
      </c>
      <c r="D146" s="177" t="s">
        <v>19</v>
      </c>
      <c r="E146" s="128">
        <f>(145+125+9)/1000</f>
        <v>0.27900000000000003</v>
      </c>
      <c r="F146" s="127">
        <f t="shared" si="44"/>
        <v>0.28699999999999998</v>
      </c>
      <c r="G146" s="3"/>
      <c r="H146" s="3">
        <f>F146*G146</f>
        <v>0</v>
      </c>
      <c r="I146" s="3"/>
      <c r="J146" s="3"/>
      <c r="K146" s="3"/>
      <c r="L146" s="3"/>
      <c r="M146" s="92">
        <f t="shared" ref="M146" si="45">L146+J146+H146</f>
        <v>0</v>
      </c>
    </row>
    <row r="147" spans="1:13" s="20" customFormat="1" ht="19.95" customHeight="1">
      <c r="A147" s="91"/>
      <c r="B147" s="206" t="s">
        <v>28</v>
      </c>
      <c r="C147" s="161" t="s">
        <v>29</v>
      </c>
      <c r="D147" s="159" t="s">
        <v>13</v>
      </c>
      <c r="E147" s="127"/>
      <c r="F147" s="124">
        <f>F142</f>
        <v>198.62</v>
      </c>
      <c r="G147" s="3"/>
      <c r="H147" s="3">
        <f t="shared" ref="H147:H148" si="46">G147*F147</f>
        <v>0</v>
      </c>
      <c r="I147" s="3"/>
      <c r="J147" s="3"/>
      <c r="K147" s="3"/>
      <c r="L147" s="3"/>
      <c r="M147" s="92">
        <f t="shared" si="41"/>
        <v>0</v>
      </c>
    </row>
    <row r="148" spans="1:13" s="20" customFormat="1" ht="19.95" customHeight="1">
      <c r="A148" s="91"/>
      <c r="B148" s="179" t="s">
        <v>22</v>
      </c>
      <c r="C148" s="161" t="s">
        <v>23</v>
      </c>
      <c r="D148" s="159" t="s">
        <v>13</v>
      </c>
      <c r="E148" s="124"/>
      <c r="F148" s="124">
        <f>F142</f>
        <v>198.62</v>
      </c>
      <c r="G148" s="3"/>
      <c r="H148" s="3">
        <f t="shared" si="46"/>
        <v>0</v>
      </c>
      <c r="I148" s="3"/>
      <c r="J148" s="3"/>
      <c r="K148" s="3"/>
      <c r="L148" s="3"/>
      <c r="M148" s="92">
        <f t="shared" si="41"/>
        <v>0</v>
      </c>
    </row>
    <row r="149" spans="1:13" s="13" customFormat="1" ht="21.6" customHeight="1">
      <c r="A149" s="61"/>
      <c r="B149" s="200" t="s">
        <v>77</v>
      </c>
      <c r="C149" s="200" t="s">
        <v>78</v>
      </c>
      <c r="D149" s="201"/>
      <c r="E149" s="134"/>
      <c r="F149" s="134"/>
      <c r="G149" s="112"/>
      <c r="H149" s="112"/>
      <c r="I149" s="112"/>
      <c r="J149" s="112"/>
      <c r="K149" s="112"/>
      <c r="L149" s="112"/>
      <c r="M149" s="113"/>
    </row>
    <row r="150" spans="1:13" s="20" customFormat="1" ht="19.95" customHeight="1">
      <c r="A150" s="14"/>
      <c r="B150" s="180" t="s">
        <v>52</v>
      </c>
      <c r="C150" s="181" t="s">
        <v>54</v>
      </c>
      <c r="D150" s="169"/>
      <c r="E150" s="125"/>
      <c r="F150" s="125"/>
      <c r="G150" s="4"/>
      <c r="H150" s="4"/>
      <c r="I150" s="4"/>
      <c r="J150" s="4"/>
      <c r="K150" s="4"/>
      <c r="L150" s="4"/>
      <c r="M150" s="94"/>
    </row>
    <row r="151" spans="1:13" s="20" customFormat="1" ht="48.6" customHeight="1">
      <c r="A151" s="108">
        <v>24</v>
      </c>
      <c r="B151" s="193" t="s">
        <v>175</v>
      </c>
      <c r="C151" s="188" t="s">
        <v>127</v>
      </c>
      <c r="D151" s="184" t="s">
        <v>13</v>
      </c>
      <c r="E151" s="131"/>
      <c r="F151" s="130">
        <f>33+2</f>
        <v>35</v>
      </c>
      <c r="G151" s="6"/>
      <c r="H151" s="6"/>
      <c r="I151" s="6"/>
      <c r="J151" s="6"/>
      <c r="K151" s="6"/>
      <c r="L151" s="6"/>
      <c r="M151" s="109"/>
    </row>
    <row r="152" spans="1:13" s="20" customFormat="1" ht="19.95" customHeight="1">
      <c r="A152" s="108"/>
      <c r="B152" s="186" t="s">
        <v>64</v>
      </c>
      <c r="C152" s="186" t="s">
        <v>67</v>
      </c>
      <c r="D152" s="184" t="s">
        <v>13</v>
      </c>
      <c r="E152" s="132">
        <v>1.0149999999999999</v>
      </c>
      <c r="F152" s="131">
        <f>E152*F151</f>
        <v>35.524999999999999</v>
      </c>
      <c r="G152" s="6"/>
      <c r="H152" s="6">
        <f>G152*F152</f>
        <v>0</v>
      </c>
      <c r="I152" s="6"/>
      <c r="J152" s="6"/>
      <c r="K152" s="6"/>
      <c r="L152" s="6">
        <f>K152*F152</f>
        <v>0</v>
      </c>
      <c r="M152" s="109">
        <f t="shared" ref="M151:M163" si="47">L152+J152+H152</f>
        <v>0</v>
      </c>
    </row>
    <row r="153" spans="1:13" s="20" customFormat="1" ht="19.95" customHeight="1">
      <c r="A153" s="108"/>
      <c r="B153" s="192" t="s">
        <v>154</v>
      </c>
      <c r="C153" s="196" t="s">
        <v>153</v>
      </c>
      <c r="D153" s="197" t="s">
        <v>19</v>
      </c>
      <c r="E153" s="133">
        <f>(36+2)/1000</f>
        <v>3.7999999999999999E-2</v>
      </c>
      <c r="F153" s="132">
        <f t="shared" ref="F153:F155" si="48">ROUND(E153*1.03,3)</f>
        <v>3.9E-2</v>
      </c>
      <c r="G153" s="6"/>
      <c r="H153" s="6">
        <f t="shared" ref="H153" si="49">G153*F153</f>
        <v>0</v>
      </c>
      <c r="I153" s="6"/>
      <c r="J153" s="6"/>
      <c r="K153" s="6"/>
      <c r="L153" s="6"/>
      <c r="M153" s="109">
        <f t="shared" si="47"/>
        <v>0</v>
      </c>
    </row>
    <row r="154" spans="1:13" s="20" customFormat="1" ht="19.95" customHeight="1">
      <c r="A154" s="108"/>
      <c r="B154" s="192" t="s">
        <v>152</v>
      </c>
      <c r="C154" s="196" t="s">
        <v>151</v>
      </c>
      <c r="D154" s="197" t="s">
        <v>19</v>
      </c>
      <c r="E154" s="133">
        <f>(850+226+10+11+16+38+47+59+30+46)/1000</f>
        <v>1.333</v>
      </c>
      <c r="F154" s="132">
        <f t="shared" si="48"/>
        <v>1.373</v>
      </c>
      <c r="G154" s="6"/>
      <c r="H154" s="6">
        <f>F154*G154</f>
        <v>0</v>
      </c>
      <c r="I154" s="6"/>
      <c r="J154" s="6"/>
      <c r="K154" s="6"/>
      <c r="L154" s="6"/>
      <c r="M154" s="109">
        <f t="shared" si="47"/>
        <v>0</v>
      </c>
    </row>
    <row r="155" spans="1:13" s="20" customFormat="1" ht="19.95" customHeight="1">
      <c r="A155" s="108"/>
      <c r="B155" s="192" t="s">
        <v>159</v>
      </c>
      <c r="C155" s="196" t="s">
        <v>160</v>
      </c>
      <c r="D155" s="197" t="s">
        <v>19</v>
      </c>
      <c r="E155" s="133">
        <f>(1863+106+195)/1000</f>
        <v>2.1640000000000001</v>
      </c>
      <c r="F155" s="132">
        <f t="shared" si="48"/>
        <v>2.2290000000000001</v>
      </c>
      <c r="G155" s="6"/>
      <c r="H155" s="6">
        <f>F155*G155</f>
        <v>0</v>
      </c>
      <c r="I155" s="6"/>
      <c r="J155" s="6"/>
      <c r="K155" s="6"/>
      <c r="L155" s="6"/>
      <c r="M155" s="109">
        <f t="shared" si="47"/>
        <v>0</v>
      </c>
    </row>
    <row r="156" spans="1:13" s="20" customFormat="1" ht="21.6" customHeight="1">
      <c r="A156" s="108"/>
      <c r="B156" s="198" t="s">
        <v>24</v>
      </c>
      <c r="C156" s="186" t="s">
        <v>25</v>
      </c>
      <c r="D156" s="184" t="s">
        <v>13</v>
      </c>
      <c r="E156" s="131"/>
      <c r="F156" s="131">
        <f>F151</f>
        <v>35</v>
      </c>
      <c r="G156" s="6"/>
      <c r="H156" s="6">
        <f t="shared" ref="H156:H157" si="50">G156*F156</f>
        <v>0</v>
      </c>
      <c r="I156" s="6"/>
      <c r="J156" s="6"/>
      <c r="K156" s="6"/>
      <c r="L156" s="6"/>
      <c r="M156" s="109">
        <f t="shared" si="47"/>
        <v>0</v>
      </c>
    </row>
    <row r="157" spans="1:13" s="20" customFormat="1" ht="21.6" customHeight="1">
      <c r="A157" s="108"/>
      <c r="B157" s="199" t="s">
        <v>22</v>
      </c>
      <c r="C157" s="186" t="s">
        <v>23</v>
      </c>
      <c r="D157" s="184" t="s">
        <v>13</v>
      </c>
      <c r="E157" s="131"/>
      <c r="F157" s="131">
        <f>F151</f>
        <v>35</v>
      </c>
      <c r="G157" s="6"/>
      <c r="H157" s="6">
        <f t="shared" si="50"/>
        <v>0</v>
      </c>
      <c r="I157" s="6"/>
      <c r="J157" s="6"/>
      <c r="K157" s="6"/>
      <c r="L157" s="6"/>
      <c r="M157" s="109">
        <f t="shared" si="47"/>
        <v>0</v>
      </c>
    </row>
    <row r="158" spans="1:13" s="20" customFormat="1" ht="33" customHeight="1">
      <c r="A158" s="108">
        <v>25</v>
      </c>
      <c r="B158" s="187" t="s">
        <v>179</v>
      </c>
      <c r="C158" s="188" t="s">
        <v>82</v>
      </c>
      <c r="D158" s="184" t="s">
        <v>13</v>
      </c>
      <c r="E158" s="131"/>
      <c r="F158" s="130">
        <f>4.09+1.6+5.33+3.55+2.3+2.3+0.49+0.89+2.45</f>
        <v>23</v>
      </c>
      <c r="G158" s="6"/>
      <c r="H158" s="6"/>
      <c r="I158" s="6"/>
      <c r="J158" s="6"/>
      <c r="K158" s="6"/>
      <c r="L158" s="6"/>
      <c r="M158" s="109"/>
    </row>
    <row r="159" spans="1:13" s="20" customFormat="1" ht="19.95" customHeight="1">
      <c r="A159" s="108"/>
      <c r="B159" s="186" t="s">
        <v>64</v>
      </c>
      <c r="C159" s="186" t="s">
        <v>67</v>
      </c>
      <c r="D159" s="184" t="s">
        <v>13</v>
      </c>
      <c r="E159" s="132">
        <v>1.0149999999999999</v>
      </c>
      <c r="F159" s="131">
        <f>E159*F158</f>
        <v>23.344999999999999</v>
      </c>
      <c r="G159" s="6"/>
      <c r="H159" s="6">
        <f>G159*F159</f>
        <v>0</v>
      </c>
      <c r="I159" s="6"/>
      <c r="J159" s="6"/>
      <c r="K159" s="6"/>
      <c r="L159" s="6">
        <f>K159*F159</f>
        <v>0</v>
      </c>
      <c r="M159" s="109">
        <f t="shared" si="47"/>
        <v>0</v>
      </c>
    </row>
    <row r="160" spans="1:13" s="20" customFormat="1" ht="19.95" customHeight="1">
      <c r="A160" s="108"/>
      <c r="B160" s="192" t="s">
        <v>154</v>
      </c>
      <c r="C160" s="196" t="s">
        <v>153</v>
      </c>
      <c r="D160" s="197" t="s">
        <v>19</v>
      </c>
      <c r="E160" s="133">
        <f>980.69/1000</f>
        <v>0.98069000000000006</v>
      </c>
      <c r="F160" s="132">
        <f t="shared" ref="F160:F161" si="51">ROUND(E160*1.03,3)</f>
        <v>1.01</v>
      </c>
      <c r="G160" s="6"/>
      <c r="H160" s="6">
        <f>G160*F160</f>
        <v>0</v>
      </c>
      <c r="I160" s="6"/>
      <c r="J160" s="6"/>
      <c r="K160" s="6"/>
      <c r="L160" s="6"/>
      <c r="M160" s="109">
        <f t="shared" si="47"/>
        <v>0</v>
      </c>
    </row>
    <row r="161" spans="1:13" s="20" customFormat="1" ht="19.95" customHeight="1">
      <c r="A161" s="108"/>
      <c r="B161" s="192" t="s">
        <v>161</v>
      </c>
      <c r="C161" s="196" t="s">
        <v>162</v>
      </c>
      <c r="D161" s="197" t="s">
        <v>19</v>
      </c>
      <c r="E161" s="133">
        <f>(8+8)/1000</f>
        <v>1.6E-2</v>
      </c>
      <c r="F161" s="132">
        <f t="shared" si="51"/>
        <v>1.6E-2</v>
      </c>
      <c r="G161" s="6"/>
      <c r="H161" s="6">
        <f>F161*G161</f>
        <v>0</v>
      </c>
      <c r="I161" s="6"/>
      <c r="J161" s="6"/>
      <c r="K161" s="6"/>
      <c r="L161" s="6"/>
      <c r="M161" s="109">
        <f t="shared" si="47"/>
        <v>0</v>
      </c>
    </row>
    <row r="162" spans="1:13" s="20" customFormat="1" ht="19.95" customHeight="1">
      <c r="A162" s="108"/>
      <c r="B162" s="198" t="s">
        <v>32</v>
      </c>
      <c r="C162" s="186" t="s">
        <v>33</v>
      </c>
      <c r="D162" s="184" t="s">
        <v>13</v>
      </c>
      <c r="E162" s="131"/>
      <c r="F162" s="131">
        <f>F158</f>
        <v>23</v>
      </c>
      <c r="G162" s="6"/>
      <c r="H162" s="6">
        <f>G162*F162</f>
        <v>0</v>
      </c>
      <c r="I162" s="6"/>
      <c r="J162" s="6"/>
      <c r="K162" s="6"/>
      <c r="L162" s="6"/>
      <c r="M162" s="109">
        <f t="shared" si="47"/>
        <v>0</v>
      </c>
    </row>
    <row r="163" spans="1:13" s="20" customFormat="1" ht="21.6" customHeight="1">
      <c r="A163" s="108"/>
      <c r="B163" s="199" t="s">
        <v>22</v>
      </c>
      <c r="C163" s="186" t="s">
        <v>23</v>
      </c>
      <c r="D163" s="184" t="s">
        <v>13</v>
      </c>
      <c r="E163" s="131"/>
      <c r="F163" s="131">
        <f>F158</f>
        <v>23</v>
      </c>
      <c r="G163" s="6"/>
      <c r="H163" s="6">
        <f>G163*F163</f>
        <v>0</v>
      </c>
      <c r="I163" s="6"/>
      <c r="J163" s="6"/>
      <c r="K163" s="6"/>
      <c r="L163" s="6"/>
      <c r="M163" s="109">
        <f t="shared" si="47"/>
        <v>0</v>
      </c>
    </row>
    <row r="164" spans="1:13" s="20" customFormat="1" ht="34.950000000000003" customHeight="1">
      <c r="A164" s="108">
        <v>26</v>
      </c>
      <c r="B164" s="187" t="s">
        <v>80</v>
      </c>
      <c r="C164" s="188" t="s">
        <v>79</v>
      </c>
      <c r="D164" s="184" t="s">
        <v>13</v>
      </c>
      <c r="E164" s="131"/>
      <c r="F164" s="130">
        <v>3.1</v>
      </c>
      <c r="G164" s="6"/>
      <c r="H164" s="6"/>
      <c r="I164" s="6"/>
      <c r="J164" s="6"/>
      <c r="K164" s="6"/>
      <c r="L164" s="6"/>
      <c r="M164" s="109"/>
    </row>
    <row r="165" spans="1:13" s="20" customFormat="1" ht="22.2" customHeight="1">
      <c r="A165" s="108"/>
      <c r="B165" s="204" t="s">
        <v>396</v>
      </c>
      <c r="C165" s="204" t="s">
        <v>35</v>
      </c>
      <c r="D165" s="205" t="s">
        <v>34</v>
      </c>
      <c r="E165" s="131">
        <v>22</v>
      </c>
      <c r="F165" s="130"/>
      <c r="G165" s="6"/>
      <c r="H165" s="6"/>
      <c r="I165" s="6"/>
      <c r="J165" s="6">
        <f>I165*E165</f>
        <v>0</v>
      </c>
      <c r="K165" s="6"/>
      <c r="L165" s="6"/>
      <c r="M165" s="109">
        <f>H165+J165+L165</f>
        <v>0</v>
      </c>
    </row>
    <row r="166" spans="1:13" s="20" customFormat="1" ht="19.95" customHeight="1">
      <c r="A166" s="108"/>
      <c r="B166" s="186" t="s">
        <v>64</v>
      </c>
      <c r="C166" s="186" t="s">
        <v>67</v>
      </c>
      <c r="D166" s="184" t="s">
        <v>13</v>
      </c>
      <c r="E166" s="132">
        <v>1.0149999999999999</v>
      </c>
      <c r="F166" s="131">
        <f>E166*F164</f>
        <v>3.1464999999999996</v>
      </c>
      <c r="G166" s="6"/>
      <c r="H166" s="6">
        <f>G166*F166</f>
        <v>0</v>
      </c>
      <c r="I166" s="6"/>
      <c r="J166" s="6"/>
      <c r="K166" s="6"/>
      <c r="L166" s="6">
        <f>K166*F166</f>
        <v>0</v>
      </c>
      <c r="M166" s="109">
        <f t="shared" ref="M166:M184" si="52">L166+J166+H166</f>
        <v>0</v>
      </c>
    </row>
    <row r="167" spans="1:13" s="20" customFormat="1" ht="19.95" customHeight="1">
      <c r="A167" s="108"/>
      <c r="B167" s="192" t="s">
        <v>152</v>
      </c>
      <c r="C167" s="196" t="s">
        <v>151</v>
      </c>
      <c r="D167" s="197" t="s">
        <v>19</v>
      </c>
      <c r="E167" s="133">
        <f>(62+33+26)/1000</f>
        <v>0.121</v>
      </c>
      <c r="F167" s="132">
        <f t="shared" ref="F167:F168" si="53">ROUND(E167*1.03,3)</f>
        <v>0.125</v>
      </c>
      <c r="G167" s="6"/>
      <c r="H167" s="6">
        <f>G167*F167</f>
        <v>0</v>
      </c>
      <c r="I167" s="6"/>
      <c r="J167" s="6"/>
      <c r="K167" s="6"/>
      <c r="L167" s="6"/>
      <c r="M167" s="109">
        <f t="shared" si="52"/>
        <v>0</v>
      </c>
    </row>
    <row r="168" spans="1:13" s="20" customFormat="1" ht="19.95" customHeight="1">
      <c r="A168" s="108"/>
      <c r="B168" s="192" t="s">
        <v>159</v>
      </c>
      <c r="C168" s="196" t="s">
        <v>160</v>
      </c>
      <c r="D168" s="197" t="s">
        <v>19</v>
      </c>
      <c r="E168" s="133">
        <f>(197/1000)</f>
        <v>0.19700000000000001</v>
      </c>
      <c r="F168" s="132">
        <f t="shared" si="53"/>
        <v>0.20300000000000001</v>
      </c>
      <c r="G168" s="6"/>
      <c r="H168" s="6">
        <f>F168*G168</f>
        <v>0</v>
      </c>
      <c r="I168" s="6"/>
      <c r="J168" s="6"/>
      <c r="K168" s="6"/>
      <c r="L168" s="6"/>
      <c r="M168" s="109">
        <f t="shared" si="52"/>
        <v>0</v>
      </c>
    </row>
    <row r="169" spans="1:13" s="20" customFormat="1" ht="19.95" customHeight="1">
      <c r="A169" s="108"/>
      <c r="B169" s="186" t="s">
        <v>36</v>
      </c>
      <c r="C169" s="186" t="s">
        <v>37</v>
      </c>
      <c r="D169" s="184" t="s">
        <v>13</v>
      </c>
      <c r="E169" s="132"/>
      <c r="F169" s="131">
        <f>F164</f>
        <v>3.1</v>
      </c>
      <c r="G169" s="6"/>
      <c r="H169" s="6">
        <f>G169*F169</f>
        <v>0</v>
      </c>
      <c r="I169" s="6"/>
      <c r="J169" s="6"/>
      <c r="K169" s="6"/>
      <c r="L169" s="6"/>
      <c r="M169" s="109">
        <f t="shared" si="52"/>
        <v>0</v>
      </c>
    </row>
    <row r="170" spans="1:13" s="20" customFormat="1" ht="19.95" customHeight="1">
      <c r="A170" s="108"/>
      <c r="B170" s="199" t="s">
        <v>22</v>
      </c>
      <c r="C170" s="186" t="s">
        <v>23</v>
      </c>
      <c r="D170" s="184" t="s">
        <v>13</v>
      </c>
      <c r="E170" s="131"/>
      <c r="F170" s="131">
        <f>F164</f>
        <v>3.1</v>
      </c>
      <c r="G170" s="6"/>
      <c r="H170" s="6">
        <f>G170*F170</f>
        <v>0</v>
      </c>
      <c r="I170" s="6"/>
      <c r="J170" s="6"/>
      <c r="K170" s="6"/>
      <c r="L170" s="6"/>
      <c r="M170" s="109">
        <f t="shared" si="52"/>
        <v>0</v>
      </c>
    </row>
    <row r="171" spans="1:13" s="20" customFormat="1" ht="49.95" customHeight="1">
      <c r="A171" s="108">
        <v>27</v>
      </c>
      <c r="B171" s="193" t="s">
        <v>180</v>
      </c>
      <c r="C171" s="188" t="s">
        <v>134</v>
      </c>
      <c r="D171" s="184" t="s">
        <v>13</v>
      </c>
      <c r="E171" s="131"/>
      <c r="F171" s="130">
        <f>17.9+0.5</f>
        <v>18.399999999999999</v>
      </c>
      <c r="G171" s="6"/>
      <c r="H171" s="6"/>
      <c r="I171" s="6"/>
      <c r="J171" s="6"/>
      <c r="K171" s="6"/>
      <c r="L171" s="6"/>
      <c r="M171" s="109"/>
    </row>
    <row r="172" spans="1:13" s="20" customFormat="1" ht="19.95" customHeight="1">
      <c r="A172" s="108"/>
      <c r="B172" s="186" t="s">
        <v>64</v>
      </c>
      <c r="C172" s="186" t="s">
        <v>67</v>
      </c>
      <c r="D172" s="184" t="s">
        <v>13</v>
      </c>
      <c r="E172" s="132">
        <v>1.0149999999999999</v>
      </c>
      <c r="F172" s="131">
        <f>E172*F171</f>
        <v>18.675999999999998</v>
      </c>
      <c r="G172" s="6"/>
      <c r="H172" s="6">
        <f>G172*F172</f>
        <v>0</v>
      </c>
      <c r="I172" s="6"/>
      <c r="J172" s="6"/>
      <c r="K172" s="6"/>
      <c r="L172" s="6">
        <f>K172*F172</f>
        <v>0</v>
      </c>
      <c r="M172" s="109">
        <f t="shared" ref="M172:M177" si="54">L172+J172+H172</f>
        <v>0</v>
      </c>
    </row>
    <row r="173" spans="1:13" s="20" customFormat="1" ht="19.2" customHeight="1">
      <c r="A173" s="108"/>
      <c r="B173" s="192" t="s">
        <v>154</v>
      </c>
      <c r="C173" s="196" t="s">
        <v>153</v>
      </c>
      <c r="D173" s="197" t="s">
        <v>19</v>
      </c>
      <c r="E173" s="133">
        <f>(699+14)/1000</f>
        <v>0.71299999999999997</v>
      </c>
      <c r="F173" s="132">
        <f t="shared" ref="F173:F175" si="55">ROUND(E173*1.03,3)</f>
        <v>0.73399999999999999</v>
      </c>
      <c r="G173" s="6"/>
      <c r="H173" s="6">
        <f>F173*G173</f>
        <v>0</v>
      </c>
      <c r="I173" s="6"/>
      <c r="J173" s="6"/>
      <c r="K173" s="6"/>
      <c r="L173" s="6"/>
      <c r="M173" s="109">
        <f t="shared" si="54"/>
        <v>0</v>
      </c>
    </row>
    <row r="174" spans="1:13" s="20" customFormat="1" ht="19.95" customHeight="1">
      <c r="A174" s="108"/>
      <c r="B174" s="186" t="s">
        <v>157</v>
      </c>
      <c r="C174" s="186" t="s">
        <v>158</v>
      </c>
      <c r="D174" s="197" t="s">
        <v>19</v>
      </c>
      <c r="E174" s="133">
        <f>(1001+35)/1000</f>
        <v>1.036</v>
      </c>
      <c r="F174" s="132">
        <f t="shared" si="55"/>
        <v>1.0669999999999999</v>
      </c>
      <c r="G174" s="6"/>
      <c r="H174" s="6">
        <f>F174*G174</f>
        <v>0</v>
      </c>
      <c r="I174" s="6"/>
      <c r="J174" s="6"/>
      <c r="K174" s="6"/>
      <c r="L174" s="6"/>
      <c r="M174" s="109">
        <f t="shared" si="54"/>
        <v>0</v>
      </c>
    </row>
    <row r="175" spans="1:13" s="20" customFormat="1" ht="19.95" customHeight="1">
      <c r="A175" s="108"/>
      <c r="B175" s="196" t="s">
        <v>155</v>
      </c>
      <c r="C175" s="196" t="s">
        <v>156</v>
      </c>
      <c r="D175" s="197" t="s">
        <v>19</v>
      </c>
      <c r="E175" s="133">
        <f>(1761+54)/1000</f>
        <v>1.8149999999999999</v>
      </c>
      <c r="F175" s="132">
        <f t="shared" si="55"/>
        <v>1.869</v>
      </c>
      <c r="G175" s="6"/>
      <c r="H175" s="6">
        <f>F175*G175</f>
        <v>0</v>
      </c>
      <c r="I175" s="6"/>
      <c r="J175" s="6"/>
      <c r="K175" s="6"/>
      <c r="L175" s="6"/>
      <c r="M175" s="109">
        <f t="shared" si="54"/>
        <v>0</v>
      </c>
    </row>
    <row r="176" spans="1:13" s="20" customFormat="1" ht="20.399999999999999" customHeight="1">
      <c r="A176" s="108"/>
      <c r="B176" s="186" t="s">
        <v>30</v>
      </c>
      <c r="C176" s="186" t="s">
        <v>31</v>
      </c>
      <c r="D176" s="184" t="s">
        <v>13</v>
      </c>
      <c r="E176" s="132"/>
      <c r="F176" s="132">
        <f>F171</f>
        <v>18.399999999999999</v>
      </c>
      <c r="G176" s="6"/>
      <c r="H176" s="6">
        <f>G176*F176</f>
        <v>0</v>
      </c>
      <c r="I176" s="6"/>
      <c r="J176" s="6"/>
      <c r="K176" s="6"/>
      <c r="L176" s="6"/>
      <c r="M176" s="109">
        <f t="shared" si="54"/>
        <v>0</v>
      </c>
    </row>
    <row r="177" spans="1:13" s="20" customFormat="1" ht="19.95" customHeight="1">
      <c r="A177" s="108"/>
      <c r="B177" s="199" t="s">
        <v>22</v>
      </c>
      <c r="C177" s="186" t="s">
        <v>23</v>
      </c>
      <c r="D177" s="184" t="s">
        <v>13</v>
      </c>
      <c r="E177" s="131"/>
      <c r="F177" s="131">
        <f>F171</f>
        <v>18.399999999999999</v>
      </c>
      <c r="G177" s="6"/>
      <c r="H177" s="6">
        <f>G177*F177</f>
        <v>0</v>
      </c>
      <c r="I177" s="6"/>
      <c r="J177" s="6"/>
      <c r="K177" s="6"/>
      <c r="L177" s="6"/>
      <c r="M177" s="109">
        <f t="shared" si="54"/>
        <v>0</v>
      </c>
    </row>
    <row r="178" spans="1:13" s="20" customFormat="1" ht="49.2" customHeight="1">
      <c r="A178" s="108">
        <v>28</v>
      </c>
      <c r="B178" s="187" t="s">
        <v>210</v>
      </c>
      <c r="C178" s="188" t="s">
        <v>81</v>
      </c>
      <c r="D178" s="184" t="s">
        <v>13</v>
      </c>
      <c r="E178" s="131"/>
      <c r="F178" s="130">
        <v>198.62</v>
      </c>
      <c r="G178" s="6"/>
      <c r="H178" s="6"/>
      <c r="I178" s="6"/>
      <c r="J178" s="6"/>
      <c r="K178" s="6"/>
      <c r="L178" s="6"/>
      <c r="M178" s="109"/>
    </row>
    <row r="179" spans="1:13" s="20" customFormat="1" ht="22.95" customHeight="1">
      <c r="A179" s="108"/>
      <c r="B179" s="199" t="s">
        <v>26</v>
      </c>
      <c r="C179" s="204" t="s">
        <v>27</v>
      </c>
      <c r="D179" s="195" t="s">
        <v>16</v>
      </c>
      <c r="E179" s="131">
        <f>F178/0.22</f>
        <v>902.81818181818187</v>
      </c>
      <c r="F179" s="130"/>
      <c r="G179" s="6"/>
      <c r="H179" s="6"/>
      <c r="I179" s="6"/>
      <c r="J179" s="6">
        <f>I179*E179</f>
        <v>0</v>
      </c>
      <c r="K179" s="6"/>
      <c r="L179" s="6"/>
      <c r="M179" s="109">
        <f t="shared" si="52"/>
        <v>0</v>
      </c>
    </row>
    <row r="180" spans="1:13" s="20" customFormat="1" ht="20.399999999999999" customHeight="1">
      <c r="A180" s="108"/>
      <c r="B180" s="186" t="s">
        <v>64</v>
      </c>
      <c r="C180" s="186" t="s">
        <v>67</v>
      </c>
      <c r="D180" s="184" t="s">
        <v>13</v>
      </c>
      <c r="E180" s="132">
        <v>1.0149999999999999</v>
      </c>
      <c r="F180" s="131">
        <f>E180*F178</f>
        <v>201.59929999999997</v>
      </c>
      <c r="G180" s="6"/>
      <c r="H180" s="6">
        <f>G180*F180</f>
        <v>0</v>
      </c>
      <c r="I180" s="6"/>
      <c r="J180" s="6"/>
      <c r="K180" s="6"/>
      <c r="L180" s="6">
        <f>K180*F180</f>
        <v>0</v>
      </c>
      <c r="M180" s="109">
        <f t="shared" si="52"/>
        <v>0</v>
      </c>
    </row>
    <row r="181" spans="1:13" s="20" customFormat="1" ht="19.95" customHeight="1">
      <c r="A181" s="108"/>
      <c r="B181" s="192" t="s">
        <v>159</v>
      </c>
      <c r="C181" s="196" t="s">
        <v>160</v>
      </c>
      <c r="D181" s="197" t="s">
        <v>19</v>
      </c>
      <c r="E181" s="133">
        <f>(18281+1808+362+89+64+11+627+680+312+33+109+1447+1213)/1000</f>
        <v>25.036000000000001</v>
      </c>
      <c r="F181" s="132">
        <f t="shared" ref="F181:F182" si="56">ROUND(E181*1.03,3)</f>
        <v>25.786999999999999</v>
      </c>
      <c r="G181" s="6"/>
      <c r="H181" s="6">
        <f>F181*G181</f>
        <v>0</v>
      </c>
      <c r="I181" s="6"/>
      <c r="J181" s="6"/>
      <c r="K181" s="6"/>
      <c r="L181" s="6"/>
      <c r="M181" s="109">
        <f t="shared" si="52"/>
        <v>0</v>
      </c>
    </row>
    <row r="182" spans="1:13" s="20" customFormat="1" ht="19.95" customHeight="1">
      <c r="A182" s="108"/>
      <c r="B182" s="192" t="s">
        <v>161</v>
      </c>
      <c r="C182" s="196" t="s">
        <v>162</v>
      </c>
      <c r="D182" s="197" t="s">
        <v>19</v>
      </c>
      <c r="E182" s="133">
        <f>(145+125+9)/1000</f>
        <v>0.27900000000000003</v>
      </c>
      <c r="F182" s="132">
        <f t="shared" si="56"/>
        <v>0.28699999999999998</v>
      </c>
      <c r="G182" s="6"/>
      <c r="H182" s="6">
        <f>F182*G182</f>
        <v>0</v>
      </c>
      <c r="I182" s="6"/>
      <c r="J182" s="6"/>
      <c r="K182" s="6"/>
      <c r="L182" s="6"/>
      <c r="M182" s="109">
        <f t="shared" si="52"/>
        <v>0</v>
      </c>
    </row>
    <row r="183" spans="1:13" s="20" customFormat="1" ht="19.95" customHeight="1">
      <c r="A183" s="108"/>
      <c r="B183" s="207" t="s">
        <v>28</v>
      </c>
      <c r="C183" s="186" t="s">
        <v>29</v>
      </c>
      <c r="D183" s="184" t="s">
        <v>13</v>
      </c>
      <c r="E183" s="132"/>
      <c r="F183" s="131">
        <f>F178</f>
        <v>198.62</v>
      </c>
      <c r="G183" s="6"/>
      <c r="H183" s="6">
        <f t="shared" ref="H183:H184" si="57">G183*F183</f>
        <v>0</v>
      </c>
      <c r="I183" s="6"/>
      <c r="J183" s="6"/>
      <c r="K183" s="6"/>
      <c r="L183" s="6"/>
      <c r="M183" s="109">
        <f t="shared" si="52"/>
        <v>0</v>
      </c>
    </row>
    <row r="184" spans="1:13" s="20" customFormat="1" ht="19.95" customHeight="1">
      <c r="A184" s="108"/>
      <c r="B184" s="199" t="s">
        <v>22</v>
      </c>
      <c r="C184" s="186" t="s">
        <v>23</v>
      </c>
      <c r="D184" s="184" t="s">
        <v>13</v>
      </c>
      <c r="E184" s="131"/>
      <c r="F184" s="131">
        <f>F178</f>
        <v>198.62</v>
      </c>
      <c r="G184" s="6"/>
      <c r="H184" s="6">
        <f t="shared" si="57"/>
        <v>0</v>
      </c>
      <c r="I184" s="6"/>
      <c r="J184" s="6"/>
      <c r="K184" s="6"/>
      <c r="L184" s="6"/>
      <c r="M184" s="109">
        <f t="shared" si="52"/>
        <v>0</v>
      </c>
    </row>
    <row r="185" spans="1:13" s="20" customFormat="1" ht="19.95" customHeight="1">
      <c r="A185" s="14"/>
      <c r="B185" s="180" t="s">
        <v>51</v>
      </c>
      <c r="C185" s="181" t="s">
        <v>53</v>
      </c>
      <c r="D185" s="169"/>
      <c r="E185" s="125"/>
      <c r="F185" s="125"/>
      <c r="G185" s="4"/>
      <c r="H185" s="4"/>
      <c r="I185" s="4"/>
      <c r="J185" s="4"/>
      <c r="K185" s="4"/>
      <c r="L185" s="4"/>
      <c r="M185" s="94"/>
    </row>
    <row r="186" spans="1:13" s="20" customFormat="1" ht="48.6" customHeight="1">
      <c r="A186" s="91">
        <v>29</v>
      </c>
      <c r="B186" s="172" t="s">
        <v>181</v>
      </c>
      <c r="C186" s="163" t="s">
        <v>141</v>
      </c>
      <c r="D186" s="159" t="s">
        <v>13</v>
      </c>
      <c r="E186" s="124"/>
      <c r="F186" s="123">
        <f>33+2</f>
        <v>35</v>
      </c>
      <c r="G186" s="3"/>
      <c r="H186" s="3"/>
      <c r="I186" s="3"/>
      <c r="J186" s="3"/>
      <c r="K186" s="3"/>
      <c r="L186" s="3"/>
      <c r="M186" s="92"/>
    </row>
    <row r="187" spans="1:13" s="20" customFormat="1" ht="19.95" customHeight="1">
      <c r="A187" s="91"/>
      <c r="B187" s="175" t="s">
        <v>64</v>
      </c>
      <c r="C187" s="161" t="s">
        <v>67</v>
      </c>
      <c r="D187" s="159" t="s">
        <v>13</v>
      </c>
      <c r="E187" s="127">
        <v>1.0149999999999999</v>
      </c>
      <c r="F187" s="124">
        <f>E187*F186</f>
        <v>35.524999999999999</v>
      </c>
      <c r="G187" s="3"/>
      <c r="H187" s="3">
        <f>G187*F187</f>
        <v>0</v>
      </c>
      <c r="I187" s="3"/>
      <c r="J187" s="3"/>
      <c r="K187" s="3"/>
      <c r="L187" s="3">
        <f>K187*F187</f>
        <v>0</v>
      </c>
      <c r="M187" s="92">
        <f t="shared" ref="M186:M192" si="58">L187+J187+H187</f>
        <v>0</v>
      </c>
    </row>
    <row r="188" spans="1:13" s="20" customFormat="1" ht="19.95" customHeight="1">
      <c r="A188" s="91"/>
      <c r="B188" s="166" t="s">
        <v>154</v>
      </c>
      <c r="C188" s="176" t="s">
        <v>153</v>
      </c>
      <c r="D188" s="177" t="s">
        <v>19</v>
      </c>
      <c r="E188" s="128">
        <f>(35+2)/1000</f>
        <v>3.6999999999999998E-2</v>
      </c>
      <c r="F188" s="127">
        <f t="shared" ref="F188:F190" si="59">ROUND(E188*1.03,3)</f>
        <v>3.7999999999999999E-2</v>
      </c>
      <c r="G188" s="3"/>
      <c r="H188" s="3">
        <f t="shared" ref="H188" si="60">G188*F188</f>
        <v>0</v>
      </c>
      <c r="I188" s="3"/>
      <c r="J188" s="3"/>
      <c r="K188" s="3"/>
      <c r="L188" s="3"/>
      <c r="M188" s="92">
        <f t="shared" si="58"/>
        <v>0</v>
      </c>
    </row>
    <row r="189" spans="1:13" s="20" customFormat="1" ht="19.95" customHeight="1">
      <c r="A189" s="91"/>
      <c r="B189" s="166" t="s">
        <v>152</v>
      </c>
      <c r="C189" s="176" t="s">
        <v>151</v>
      </c>
      <c r="D189" s="177" t="s">
        <v>19</v>
      </c>
      <c r="E189" s="128">
        <f>(850+226+10+16+38+47+52+28+42)/1000</f>
        <v>1.3089999999999999</v>
      </c>
      <c r="F189" s="127">
        <f t="shared" si="59"/>
        <v>1.3480000000000001</v>
      </c>
      <c r="G189" s="3"/>
      <c r="H189" s="3">
        <f>F189*G189</f>
        <v>0</v>
      </c>
      <c r="I189" s="3"/>
      <c r="J189" s="3"/>
      <c r="K189" s="3"/>
      <c r="L189" s="3"/>
      <c r="M189" s="92">
        <f t="shared" si="58"/>
        <v>0</v>
      </c>
    </row>
    <row r="190" spans="1:13" s="20" customFormat="1" ht="19.95" customHeight="1">
      <c r="A190" s="91"/>
      <c r="B190" s="166" t="s">
        <v>159</v>
      </c>
      <c r="C190" s="176" t="s">
        <v>160</v>
      </c>
      <c r="D190" s="177" t="s">
        <v>19</v>
      </c>
      <c r="E190" s="128">
        <f>(1863+87+195)/1000</f>
        <v>2.145</v>
      </c>
      <c r="F190" s="127">
        <f t="shared" si="59"/>
        <v>2.2090000000000001</v>
      </c>
      <c r="G190" s="3"/>
      <c r="H190" s="3">
        <f>F190*G190</f>
        <v>0</v>
      </c>
      <c r="I190" s="3"/>
      <c r="J190" s="3"/>
      <c r="K190" s="3"/>
      <c r="L190" s="3"/>
      <c r="M190" s="92">
        <f t="shared" si="58"/>
        <v>0</v>
      </c>
    </row>
    <row r="191" spans="1:13" s="20" customFormat="1" ht="21.6" customHeight="1">
      <c r="A191" s="91"/>
      <c r="B191" s="178" t="s">
        <v>24</v>
      </c>
      <c r="C191" s="161" t="s">
        <v>25</v>
      </c>
      <c r="D191" s="159" t="s">
        <v>13</v>
      </c>
      <c r="E191" s="124"/>
      <c r="F191" s="124">
        <f>F186</f>
        <v>35</v>
      </c>
      <c r="G191" s="3"/>
      <c r="H191" s="3">
        <f t="shared" ref="H191:H192" si="61">G191*F191</f>
        <v>0</v>
      </c>
      <c r="I191" s="3"/>
      <c r="J191" s="3"/>
      <c r="K191" s="3"/>
      <c r="L191" s="3"/>
      <c r="M191" s="92">
        <f t="shared" si="58"/>
        <v>0</v>
      </c>
    </row>
    <row r="192" spans="1:13" s="20" customFormat="1" ht="21.6" customHeight="1">
      <c r="A192" s="91"/>
      <c r="B192" s="179" t="s">
        <v>22</v>
      </c>
      <c r="C192" s="161" t="s">
        <v>23</v>
      </c>
      <c r="D192" s="159" t="s">
        <v>13</v>
      </c>
      <c r="E192" s="124"/>
      <c r="F192" s="124">
        <f>F186</f>
        <v>35</v>
      </c>
      <c r="G192" s="3"/>
      <c r="H192" s="3">
        <f t="shared" si="61"/>
        <v>0</v>
      </c>
      <c r="I192" s="3"/>
      <c r="J192" s="3"/>
      <c r="K192" s="3"/>
      <c r="L192" s="3"/>
      <c r="M192" s="92">
        <f t="shared" si="58"/>
        <v>0</v>
      </c>
    </row>
    <row r="193" spans="1:13" s="20" customFormat="1" ht="33" customHeight="1">
      <c r="A193" s="91">
        <v>30</v>
      </c>
      <c r="B193" s="162" t="s">
        <v>179</v>
      </c>
      <c r="C193" s="163" t="s">
        <v>82</v>
      </c>
      <c r="D193" s="159" t="s">
        <v>13</v>
      </c>
      <c r="E193" s="124"/>
      <c r="F193" s="123">
        <f>4.03+1.61+5.25+3.22+2.25+2.45+0.48+0.48+0.48+2.42</f>
        <v>22.67</v>
      </c>
      <c r="G193" s="3"/>
      <c r="H193" s="3"/>
      <c r="I193" s="3"/>
      <c r="J193" s="3"/>
      <c r="K193" s="3"/>
      <c r="L193" s="3"/>
      <c r="M193" s="92"/>
    </row>
    <row r="194" spans="1:13" s="20" customFormat="1" ht="19.95" customHeight="1">
      <c r="A194" s="91"/>
      <c r="B194" s="175" t="s">
        <v>64</v>
      </c>
      <c r="C194" s="161" t="s">
        <v>67</v>
      </c>
      <c r="D194" s="159" t="s">
        <v>13</v>
      </c>
      <c r="E194" s="127">
        <v>1.0149999999999999</v>
      </c>
      <c r="F194" s="124">
        <f>E194*F193</f>
        <v>23.01005</v>
      </c>
      <c r="G194" s="3"/>
      <c r="H194" s="3">
        <f>G194*F194</f>
        <v>0</v>
      </c>
      <c r="I194" s="3"/>
      <c r="J194" s="3"/>
      <c r="K194" s="3"/>
      <c r="L194" s="3">
        <f>K194*F194</f>
        <v>0</v>
      </c>
      <c r="M194" s="92">
        <f t="shared" ref="M194:M198" si="62">L194+J194+H194</f>
        <v>0</v>
      </c>
    </row>
    <row r="195" spans="1:13" s="20" customFormat="1" ht="19.95" customHeight="1">
      <c r="A195" s="91"/>
      <c r="B195" s="166" t="s">
        <v>154</v>
      </c>
      <c r="C195" s="176" t="s">
        <v>153</v>
      </c>
      <c r="D195" s="177" t="s">
        <v>19</v>
      </c>
      <c r="E195" s="128">
        <f>(119+88+47+35+125+93+95+71+73+20+73+20+19+5+19+5+19+5+71+53)/1000</f>
        <v>1.0549999999999999</v>
      </c>
      <c r="F195" s="127">
        <f t="shared" ref="F195:F196" si="63">ROUND(E195*1.03,3)</f>
        <v>1.087</v>
      </c>
      <c r="G195" s="3"/>
      <c r="H195" s="3">
        <f>G195*F195</f>
        <v>0</v>
      </c>
      <c r="I195" s="3"/>
      <c r="J195" s="3"/>
      <c r="K195" s="3"/>
      <c r="L195" s="3"/>
      <c r="M195" s="92">
        <f t="shared" si="62"/>
        <v>0</v>
      </c>
    </row>
    <row r="196" spans="1:13" s="20" customFormat="1" ht="19.95" customHeight="1">
      <c r="A196" s="91"/>
      <c r="B196" s="166" t="s">
        <v>161</v>
      </c>
      <c r="C196" s="176" t="s">
        <v>162</v>
      </c>
      <c r="D196" s="177" t="s">
        <v>19</v>
      </c>
      <c r="E196" s="128">
        <f>(226+241+90+97+606+404+101+97+101+97+45+24+76+76+303)/1000</f>
        <v>2.5840000000000001</v>
      </c>
      <c r="F196" s="127">
        <f t="shared" si="63"/>
        <v>2.6619999999999999</v>
      </c>
      <c r="G196" s="3"/>
      <c r="H196" s="3">
        <f>F196*G196</f>
        <v>0</v>
      </c>
      <c r="I196" s="3"/>
      <c r="J196" s="3"/>
      <c r="K196" s="3"/>
      <c r="L196" s="3"/>
      <c r="M196" s="92">
        <f t="shared" si="62"/>
        <v>0</v>
      </c>
    </row>
    <row r="197" spans="1:13" s="20" customFormat="1" ht="19.95" customHeight="1">
      <c r="A197" s="91"/>
      <c r="B197" s="178" t="s">
        <v>32</v>
      </c>
      <c r="C197" s="161" t="s">
        <v>33</v>
      </c>
      <c r="D197" s="159" t="s">
        <v>13</v>
      </c>
      <c r="E197" s="124"/>
      <c r="F197" s="124">
        <f>F193</f>
        <v>22.67</v>
      </c>
      <c r="G197" s="3"/>
      <c r="H197" s="3">
        <f>G197*F197</f>
        <v>0</v>
      </c>
      <c r="I197" s="3"/>
      <c r="J197" s="3"/>
      <c r="K197" s="3"/>
      <c r="L197" s="3"/>
      <c r="M197" s="92">
        <f t="shared" si="62"/>
        <v>0</v>
      </c>
    </row>
    <row r="198" spans="1:13" s="20" customFormat="1" ht="21.6" customHeight="1">
      <c r="A198" s="91"/>
      <c r="B198" s="179" t="s">
        <v>22</v>
      </c>
      <c r="C198" s="161" t="s">
        <v>23</v>
      </c>
      <c r="D198" s="159" t="s">
        <v>13</v>
      </c>
      <c r="E198" s="124"/>
      <c r="F198" s="124">
        <f>F193</f>
        <v>22.67</v>
      </c>
      <c r="G198" s="3"/>
      <c r="H198" s="3">
        <f>G198*F198</f>
        <v>0</v>
      </c>
      <c r="I198" s="3"/>
      <c r="J198" s="3"/>
      <c r="K198" s="3"/>
      <c r="L198" s="3"/>
      <c r="M198" s="92">
        <f t="shared" si="62"/>
        <v>0</v>
      </c>
    </row>
    <row r="199" spans="1:13" s="20" customFormat="1" ht="34.950000000000003" customHeight="1">
      <c r="A199" s="91">
        <v>31</v>
      </c>
      <c r="B199" s="162" t="s">
        <v>211</v>
      </c>
      <c r="C199" s="163" t="s">
        <v>84</v>
      </c>
      <c r="D199" s="159" t="s">
        <v>13</v>
      </c>
      <c r="E199" s="124"/>
      <c r="F199" s="123">
        <v>3.1</v>
      </c>
      <c r="G199" s="3"/>
      <c r="H199" s="3"/>
      <c r="I199" s="3"/>
      <c r="J199" s="3"/>
      <c r="K199" s="3"/>
      <c r="L199" s="3"/>
      <c r="M199" s="92"/>
    </row>
    <row r="200" spans="1:13" s="20" customFormat="1" ht="22.2" customHeight="1">
      <c r="A200" s="91"/>
      <c r="B200" s="202" t="s">
        <v>396</v>
      </c>
      <c r="C200" s="202" t="s">
        <v>35</v>
      </c>
      <c r="D200" s="203" t="s">
        <v>34</v>
      </c>
      <c r="E200" s="124">
        <v>22</v>
      </c>
      <c r="F200" s="123"/>
      <c r="G200" s="3"/>
      <c r="H200" s="3"/>
      <c r="I200" s="3"/>
      <c r="J200" s="3">
        <f>I200*E200</f>
        <v>0</v>
      </c>
      <c r="K200" s="3"/>
      <c r="L200" s="3"/>
      <c r="M200" s="92">
        <f>H200+J200+L200</f>
        <v>0</v>
      </c>
    </row>
    <row r="201" spans="1:13" s="20" customFormat="1" ht="19.95" customHeight="1">
      <c r="A201" s="91"/>
      <c r="B201" s="175" t="s">
        <v>64</v>
      </c>
      <c r="C201" s="161" t="s">
        <v>67</v>
      </c>
      <c r="D201" s="159" t="s">
        <v>13</v>
      </c>
      <c r="E201" s="127">
        <v>1.0149999999999999</v>
      </c>
      <c r="F201" s="124">
        <f>E201*F199</f>
        <v>3.1464999999999996</v>
      </c>
      <c r="G201" s="3"/>
      <c r="H201" s="3">
        <f>G201*F201</f>
        <v>0</v>
      </c>
      <c r="I201" s="3"/>
      <c r="J201" s="3"/>
      <c r="K201" s="3"/>
      <c r="L201" s="3">
        <f>K201*F201</f>
        <v>0</v>
      </c>
      <c r="M201" s="92">
        <f t="shared" ref="M201:M205" si="64">L201+J201+H201</f>
        <v>0</v>
      </c>
    </row>
    <row r="202" spans="1:13" s="20" customFormat="1" ht="19.95" customHeight="1">
      <c r="A202" s="91"/>
      <c r="B202" s="166" t="s">
        <v>152</v>
      </c>
      <c r="C202" s="176" t="s">
        <v>151</v>
      </c>
      <c r="D202" s="177" t="s">
        <v>19</v>
      </c>
      <c r="E202" s="128">
        <f>(62+33+26)/1000</f>
        <v>0.121</v>
      </c>
      <c r="F202" s="127">
        <f t="shared" ref="F202:F203" si="65">ROUND(E202*1.03,3)</f>
        <v>0.125</v>
      </c>
      <c r="G202" s="3"/>
      <c r="H202" s="3">
        <f>G202*F202</f>
        <v>0</v>
      </c>
      <c r="I202" s="3"/>
      <c r="J202" s="3"/>
      <c r="K202" s="3"/>
      <c r="L202" s="3"/>
      <c r="M202" s="92">
        <f t="shared" si="64"/>
        <v>0</v>
      </c>
    </row>
    <row r="203" spans="1:13" s="20" customFormat="1" ht="19.95" customHeight="1">
      <c r="A203" s="91"/>
      <c r="B203" s="166" t="s">
        <v>159</v>
      </c>
      <c r="C203" s="176" t="s">
        <v>160</v>
      </c>
      <c r="D203" s="177" t="s">
        <v>19</v>
      </c>
      <c r="E203" s="128">
        <f>(197/1000)</f>
        <v>0.19700000000000001</v>
      </c>
      <c r="F203" s="127">
        <f t="shared" si="65"/>
        <v>0.20300000000000001</v>
      </c>
      <c r="G203" s="3"/>
      <c r="H203" s="3">
        <f>F203*G203</f>
        <v>0</v>
      </c>
      <c r="I203" s="3"/>
      <c r="J203" s="3"/>
      <c r="K203" s="3"/>
      <c r="L203" s="3"/>
      <c r="M203" s="92">
        <f t="shared" si="64"/>
        <v>0</v>
      </c>
    </row>
    <row r="204" spans="1:13" s="20" customFormat="1" ht="19.95" customHeight="1">
      <c r="A204" s="91"/>
      <c r="B204" s="161" t="s">
        <v>36</v>
      </c>
      <c r="C204" s="161" t="s">
        <v>37</v>
      </c>
      <c r="D204" s="159" t="s">
        <v>13</v>
      </c>
      <c r="E204" s="127"/>
      <c r="F204" s="124">
        <f>F199</f>
        <v>3.1</v>
      </c>
      <c r="G204" s="3"/>
      <c r="H204" s="3">
        <f>G204*F204</f>
        <v>0</v>
      </c>
      <c r="I204" s="3"/>
      <c r="J204" s="3"/>
      <c r="K204" s="3"/>
      <c r="L204" s="3"/>
      <c r="M204" s="92">
        <f t="shared" si="64"/>
        <v>0</v>
      </c>
    </row>
    <row r="205" spans="1:13" s="20" customFormat="1" ht="19.95" customHeight="1">
      <c r="A205" s="91"/>
      <c r="B205" s="179" t="s">
        <v>22</v>
      </c>
      <c r="C205" s="161" t="s">
        <v>23</v>
      </c>
      <c r="D205" s="159" t="s">
        <v>13</v>
      </c>
      <c r="E205" s="124"/>
      <c r="F205" s="124">
        <f>F199</f>
        <v>3.1</v>
      </c>
      <c r="G205" s="3"/>
      <c r="H205" s="3">
        <f>G205*F205</f>
        <v>0</v>
      </c>
      <c r="I205" s="3"/>
      <c r="J205" s="3"/>
      <c r="K205" s="3"/>
      <c r="L205" s="3"/>
      <c r="M205" s="92">
        <f t="shared" si="64"/>
        <v>0</v>
      </c>
    </row>
    <row r="206" spans="1:13" s="20" customFormat="1" ht="49.95" customHeight="1">
      <c r="A206" s="91">
        <v>32</v>
      </c>
      <c r="B206" s="172" t="s">
        <v>182</v>
      </c>
      <c r="C206" s="163" t="s">
        <v>83</v>
      </c>
      <c r="D206" s="159" t="s">
        <v>13</v>
      </c>
      <c r="E206" s="124"/>
      <c r="F206" s="123">
        <f>13.19+1.72+1.83</f>
        <v>16.740000000000002</v>
      </c>
      <c r="G206" s="3"/>
      <c r="H206" s="3"/>
      <c r="I206" s="3"/>
      <c r="J206" s="3"/>
      <c r="K206" s="3"/>
      <c r="L206" s="3"/>
      <c r="M206" s="92"/>
    </row>
    <row r="207" spans="1:13" s="20" customFormat="1" ht="19.95" customHeight="1">
      <c r="A207" s="91"/>
      <c r="B207" s="175" t="s">
        <v>64</v>
      </c>
      <c r="C207" s="161" t="s">
        <v>67</v>
      </c>
      <c r="D207" s="159" t="s">
        <v>13</v>
      </c>
      <c r="E207" s="127">
        <v>1.0149999999999999</v>
      </c>
      <c r="F207" s="124">
        <f>E207*F206</f>
        <v>16.991099999999999</v>
      </c>
      <c r="G207" s="3"/>
      <c r="H207" s="3">
        <f>G207*F207</f>
        <v>0</v>
      </c>
      <c r="I207" s="3"/>
      <c r="J207" s="3"/>
      <c r="K207" s="3"/>
      <c r="L207" s="3">
        <f>K207*F207</f>
        <v>0</v>
      </c>
      <c r="M207" s="92">
        <f t="shared" ref="M207:M220" si="66">L207+J207+H207</f>
        <v>0</v>
      </c>
    </row>
    <row r="208" spans="1:13" s="20" customFormat="1" ht="19.2" customHeight="1">
      <c r="A208" s="91"/>
      <c r="B208" s="166" t="s">
        <v>154</v>
      </c>
      <c r="C208" s="176" t="s">
        <v>153</v>
      </c>
      <c r="D208" s="177" t="s">
        <v>19</v>
      </c>
      <c r="E208" s="128">
        <f>(621+62+9+57)/1000</f>
        <v>0.749</v>
      </c>
      <c r="F208" s="127">
        <f t="shared" ref="F208:F211" si="67">ROUND(E208*1.03,3)</f>
        <v>0.77100000000000002</v>
      </c>
      <c r="G208" s="3"/>
      <c r="H208" s="3">
        <f>F208*G208</f>
        <v>0</v>
      </c>
      <c r="I208" s="3"/>
      <c r="J208" s="3"/>
      <c r="K208" s="3"/>
      <c r="L208" s="3"/>
      <c r="M208" s="92">
        <f t="shared" si="66"/>
        <v>0</v>
      </c>
    </row>
    <row r="209" spans="1:13" s="20" customFormat="1" ht="19.95" customHeight="1">
      <c r="A209" s="91"/>
      <c r="B209" s="166" t="s">
        <v>161</v>
      </c>
      <c r="C209" s="176" t="s">
        <v>162</v>
      </c>
      <c r="D209" s="177" t="s">
        <v>19</v>
      </c>
      <c r="E209" s="128">
        <f>(26+12+5)/1000</f>
        <v>4.2999999999999997E-2</v>
      </c>
      <c r="F209" s="127">
        <f t="shared" si="67"/>
        <v>4.3999999999999997E-2</v>
      </c>
      <c r="G209" s="3"/>
      <c r="H209" s="3">
        <f>F209*G209</f>
        <v>0</v>
      </c>
      <c r="I209" s="3"/>
      <c r="J209" s="3"/>
      <c r="K209" s="3"/>
      <c r="L209" s="3"/>
      <c r="M209" s="92">
        <f t="shared" ref="M209" si="68">L209+J209+H209</f>
        <v>0</v>
      </c>
    </row>
    <row r="210" spans="1:13" s="20" customFormat="1" ht="19.95" customHeight="1">
      <c r="A210" s="91"/>
      <c r="B210" s="161" t="s">
        <v>157</v>
      </c>
      <c r="C210" s="161" t="s">
        <v>158</v>
      </c>
      <c r="D210" s="177" t="s">
        <v>19</v>
      </c>
      <c r="E210" s="128">
        <f>(889+153+130)/1000</f>
        <v>1.1719999999999999</v>
      </c>
      <c r="F210" s="127">
        <f t="shared" si="67"/>
        <v>1.2070000000000001</v>
      </c>
      <c r="G210" s="3"/>
      <c r="H210" s="3">
        <f>F210*G210</f>
        <v>0</v>
      </c>
      <c r="I210" s="3"/>
      <c r="J210" s="3"/>
      <c r="K210" s="3"/>
      <c r="L210" s="3"/>
      <c r="M210" s="92">
        <f t="shared" si="66"/>
        <v>0</v>
      </c>
    </row>
    <row r="211" spans="1:13" s="20" customFormat="1" ht="19.95" customHeight="1">
      <c r="A211" s="91"/>
      <c r="B211" s="176" t="s">
        <v>155</v>
      </c>
      <c r="C211" s="176" t="s">
        <v>156</v>
      </c>
      <c r="D211" s="177" t="s">
        <v>19</v>
      </c>
      <c r="E211" s="128">
        <f>(1386+238+202+28)/1000</f>
        <v>1.8540000000000001</v>
      </c>
      <c r="F211" s="127">
        <f t="shared" si="67"/>
        <v>1.91</v>
      </c>
      <c r="G211" s="3"/>
      <c r="H211" s="3">
        <f>F211*G211</f>
        <v>0</v>
      </c>
      <c r="I211" s="3"/>
      <c r="J211" s="3"/>
      <c r="K211" s="3"/>
      <c r="L211" s="3"/>
      <c r="M211" s="92">
        <f t="shared" ref="M211" si="69">L211+J211+H211</f>
        <v>0</v>
      </c>
    </row>
    <row r="212" spans="1:13" s="20" customFormat="1" ht="20.399999999999999" customHeight="1">
      <c r="A212" s="91"/>
      <c r="B212" s="161" t="s">
        <v>30</v>
      </c>
      <c r="C212" s="161" t="s">
        <v>31</v>
      </c>
      <c r="D212" s="159" t="s">
        <v>13</v>
      </c>
      <c r="E212" s="127"/>
      <c r="F212" s="127">
        <f>F206</f>
        <v>16.740000000000002</v>
      </c>
      <c r="G212" s="3"/>
      <c r="H212" s="3">
        <f>G212*F212</f>
        <v>0</v>
      </c>
      <c r="I212" s="3"/>
      <c r="J212" s="3"/>
      <c r="K212" s="3"/>
      <c r="L212" s="3"/>
      <c r="M212" s="92">
        <f t="shared" si="66"/>
        <v>0</v>
      </c>
    </row>
    <row r="213" spans="1:13" s="20" customFormat="1" ht="19.95" customHeight="1">
      <c r="A213" s="91"/>
      <c r="B213" s="179" t="s">
        <v>22</v>
      </c>
      <c r="C213" s="161" t="s">
        <v>23</v>
      </c>
      <c r="D213" s="159" t="s">
        <v>13</v>
      </c>
      <c r="E213" s="124"/>
      <c r="F213" s="124">
        <f>F206</f>
        <v>16.740000000000002</v>
      </c>
      <c r="G213" s="3"/>
      <c r="H213" s="3">
        <f>G213*F213</f>
        <v>0</v>
      </c>
      <c r="I213" s="3"/>
      <c r="J213" s="3"/>
      <c r="K213" s="3"/>
      <c r="L213" s="3"/>
      <c r="M213" s="92">
        <f t="shared" si="66"/>
        <v>0</v>
      </c>
    </row>
    <row r="214" spans="1:13" s="20" customFormat="1" ht="49.2" customHeight="1">
      <c r="A214" s="91">
        <v>33</v>
      </c>
      <c r="B214" s="162" t="s">
        <v>183</v>
      </c>
      <c r="C214" s="163" t="s">
        <v>85</v>
      </c>
      <c r="D214" s="159" t="s">
        <v>13</v>
      </c>
      <c r="E214" s="124"/>
      <c r="F214" s="123">
        <v>184.02</v>
      </c>
      <c r="G214" s="3"/>
      <c r="H214" s="3"/>
      <c r="I214" s="3"/>
      <c r="J214" s="3"/>
      <c r="K214" s="3"/>
      <c r="L214" s="3">
        <f>K214*F214</f>
        <v>0</v>
      </c>
      <c r="M214" s="92">
        <f t="shared" si="66"/>
        <v>0</v>
      </c>
    </row>
    <row r="215" spans="1:13" s="20" customFormat="1" ht="22.95" customHeight="1">
      <c r="A215" s="91"/>
      <c r="B215" s="179" t="s">
        <v>26</v>
      </c>
      <c r="C215" s="202" t="s">
        <v>27</v>
      </c>
      <c r="D215" s="174" t="s">
        <v>16</v>
      </c>
      <c r="E215" s="124">
        <f>F214/0.22</f>
        <v>836.4545454545455</v>
      </c>
      <c r="F215" s="123"/>
      <c r="G215" s="3"/>
      <c r="H215" s="3"/>
      <c r="I215" s="3"/>
      <c r="J215" s="3">
        <f>I215*E215</f>
        <v>0</v>
      </c>
      <c r="K215" s="3"/>
      <c r="L215" s="3"/>
      <c r="M215" s="92">
        <f t="shared" si="66"/>
        <v>0</v>
      </c>
    </row>
    <row r="216" spans="1:13" s="20" customFormat="1" ht="20.399999999999999" customHeight="1">
      <c r="A216" s="91"/>
      <c r="B216" s="175" t="s">
        <v>64</v>
      </c>
      <c r="C216" s="161" t="s">
        <v>67</v>
      </c>
      <c r="D216" s="159" t="s">
        <v>13</v>
      </c>
      <c r="E216" s="127">
        <v>1.0149999999999999</v>
      </c>
      <c r="F216" s="124">
        <f>E216*F214</f>
        <v>186.78029999999998</v>
      </c>
      <c r="G216" s="3"/>
      <c r="H216" s="3">
        <f>G216*F216</f>
        <v>0</v>
      </c>
      <c r="I216" s="3"/>
      <c r="J216" s="3"/>
      <c r="K216" s="3"/>
      <c r="L216" s="3">
        <f>K216*F216</f>
        <v>0</v>
      </c>
      <c r="M216" s="92">
        <f t="shared" si="66"/>
        <v>0</v>
      </c>
    </row>
    <row r="217" spans="1:13" s="20" customFormat="1" ht="19.95" customHeight="1">
      <c r="A217" s="91"/>
      <c r="B217" s="166" t="s">
        <v>159</v>
      </c>
      <c r="C217" s="176" t="s">
        <v>160</v>
      </c>
      <c r="D217" s="177" t="s">
        <v>19</v>
      </c>
      <c r="E217" s="128">
        <f>(17136+2619+209+83+507+627+468+55+1356+1192)/1000</f>
        <v>24.251999999999999</v>
      </c>
      <c r="F217" s="127">
        <f t="shared" ref="F217:F218" si="70">ROUND(E217*1.03,3)</f>
        <v>24.98</v>
      </c>
      <c r="G217" s="3"/>
      <c r="H217" s="3">
        <f>F217*G217</f>
        <v>0</v>
      </c>
      <c r="I217" s="3"/>
      <c r="J217" s="3"/>
      <c r="K217" s="3"/>
      <c r="L217" s="3"/>
      <c r="M217" s="92">
        <f t="shared" si="66"/>
        <v>0</v>
      </c>
    </row>
    <row r="218" spans="1:13" s="20" customFormat="1" ht="19.95" customHeight="1">
      <c r="A218" s="91"/>
      <c r="B218" s="166" t="s">
        <v>161</v>
      </c>
      <c r="C218" s="176" t="s">
        <v>162</v>
      </c>
      <c r="D218" s="177" t="s">
        <v>19</v>
      </c>
      <c r="E218" s="128">
        <f>(145+125+9)/1000</f>
        <v>0.27900000000000003</v>
      </c>
      <c r="F218" s="127">
        <f t="shared" si="70"/>
        <v>0.28699999999999998</v>
      </c>
      <c r="G218" s="3"/>
      <c r="H218" s="3">
        <f>F218*G218</f>
        <v>0</v>
      </c>
      <c r="I218" s="3"/>
      <c r="J218" s="3"/>
      <c r="K218" s="3"/>
      <c r="L218" s="3"/>
      <c r="M218" s="92">
        <f t="shared" ref="M218" si="71">L218+J218+H218</f>
        <v>0</v>
      </c>
    </row>
    <row r="219" spans="1:13" s="20" customFormat="1" ht="19.95" customHeight="1">
      <c r="A219" s="91"/>
      <c r="B219" s="206" t="s">
        <v>28</v>
      </c>
      <c r="C219" s="161" t="s">
        <v>29</v>
      </c>
      <c r="D219" s="159" t="s">
        <v>13</v>
      </c>
      <c r="E219" s="127"/>
      <c r="F219" s="124">
        <f>F214</f>
        <v>184.02</v>
      </c>
      <c r="G219" s="3"/>
      <c r="H219" s="3">
        <f t="shared" ref="H219:H220" si="72">G219*F219</f>
        <v>0</v>
      </c>
      <c r="I219" s="3"/>
      <c r="J219" s="3"/>
      <c r="K219" s="3"/>
      <c r="L219" s="3"/>
      <c r="M219" s="92">
        <f t="shared" si="66"/>
        <v>0</v>
      </c>
    </row>
    <row r="220" spans="1:13" s="20" customFormat="1" ht="19.95" customHeight="1">
      <c r="A220" s="91"/>
      <c r="B220" s="179" t="s">
        <v>22</v>
      </c>
      <c r="C220" s="161" t="s">
        <v>23</v>
      </c>
      <c r="D220" s="159" t="s">
        <v>13</v>
      </c>
      <c r="E220" s="124"/>
      <c r="F220" s="124">
        <f>F214</f>
        <v>184.02</v>
      </c>
      <c r="G220" s="3"/>
      <c r="H220" s="3">
        <f t="shared" si="72"/>
        <v>0</v>
      </c>
      <c r="I220" s="3"/>
      <c r="J220" s="3"/>
      <c r="K220" s="3"/>
      <c r="L220" s="3"/>
      <c r="M220" s="92">
        <f t="shared" si="66"/>
        <v>0</v>
      </c>
    </row>
    <row r="221" spans="1:13" s="13" customFormat="1" ht="21.6" customHeight="1">
      <c r="A221" s="61"/>
      <c r="B221" s="200" t="s">
        <v>86</v>
      </c>
      <c r="C221" s="200" t="s">
        <v>87</v>
      </c>
      <c r="D221" s="201"/>
      <c r="E221" s="134"/>
      <c r="F221" s="134"/>
      <c r="G221" s="112"/>
      <c r="H221" s="112"/>
      <c r="I221" s="112"/>
      <c r="J221" s="112"/>
      <c r="K221" s="112"/>
      <c r="L221" s="112"/>
      <c r="M221" s="113"/>
    </row>
    <row r="222" spans="1:13" s="20" customFormat="1" ht="19.95" customHeight="1">
      <c r="A222" s="14"/>
      <c r="B222" s="180" t="s">
        <v>52</v>
      </c>
      <c r="C222" s="181" t="s">
        <v>54</v>
      </c>
      <c r="D222" s="169"/>
      <c r="E222" s="125"/>
      <c r="F222" s="125"/>
      <c r="G222" s="4"/>
      <c r="H222" s="4"/>
      <c r="I222" s="4"/>
      <c r="J222" s="4"/>
      <c r="K222" s="4"/>
      <c r="L222" s="4"/>
      <c r="M222" s="94"/>
    </row>
    <row r="223" spans="1:13" s="20" customFormat="1" ht="48.6" customHeight="1">
      <c r="A223" s="108">
        <v>34</v>
      </c>
      <c r="B223" s="193" t="s">
        <v>184</v>
      </c>
      <c r="C223" s="188" t="s">
        <v>128</v>
      </c>
      <c r="D223" s="184" t="s">
        <v>13</v>
      </c>
      <c r="E223" s="131"/>
      <c r="F223" s="130">
        <f>33+2</f>
        <v>35</v>
      </c>
      <c r="G223" s="6"/>
      <c r="H223" s="6"/>
      <c r="I223" s="6"/>
      <c r="J223" s="6"/>
      <c r="K223" s="6"/>
      <c r="L223" s="6"/>
      <c r="M223" s="109"/>
    </row>
    <row r="224" spans="1:13" s="20" customFormat="1" ht="19.95" customHeight="1">
      <c r="A224" s="108"/>
      <c r="B224" s="186" t="s">
        <v>64</v>
      </c>
      <c r="C224" s="186" t="s">
        <v>67</v>
      </c>
      <c r="D224" s="184" t="s">
        <v>13</v>
      </c>
      <c r="E224" s="132">
        <v>1.0149999999999999</v>
      </c>
      <c r="F224" s="131">
        <f>E224*F223</f>
        <v>35.524999999999999</v>
      </c>
      <c r="G224" s="6"/>
      <c r="H224" s="6">
        <f>G224*F224</f>
        <v>0</v>
      </c>
      <c r="I224" s="6"/>
      <c r="J224" s="6"/>
      <c r="K224" s="6"/>
      <c r="L224" s="6">
        <f>K224*F224</f>
        <v>0</v>
      </c>
      <c r="M224" s="109">
        <f t="shared" ref="M223:M235" si="73">L224+J224+H224</f>
        <v>0</v>
      </c>
    </row>
    <row r="225" spans="1:13" s="20" customFormat="1" ht="19.95" customHeight="1">
      <c r="A225" s="108"/>
      <c r="B225" s="192" t="s">
        <v>154</v>
      </c>
      <c r="C225" s="196" t="s">
        <v>153</v>
      </c>
      <c r="D225" s="197" t="s">
        <v>19</v>
      </c>
      <c r="E225" s="133">
        <f>(35+2)/1000</f>
        <v>3.6999999999999998E-2</v>
      </c>
      <c r="F225" s="132">
        <f t="shared" ref="F225:F227" si="74">ROUND(E225*1.03,3)</f>
        <v>3.7999999999999999E-2</v>
      </c>
      <c r="G225" s="6"/>
      <c r="H225" s="6">
        <f t="shared" ref="H225" si="75">G225*F225</f>
        <v>0</v>
      </c>
      <c r="I225" s="6"/>
      <c r="J225" s="6"/>
      <c r="K225" s="6"/>
      <c r="L225" s="6"/>
      <c r="M225" s="109">
        <f t="shared" si="73"/>
        <v>0</v>
      </c>
    </row>
    <row r="226" spans="1:13" s="20" customFormat="1" ht="19.95" customHeight="1">
      <c r="A226" s="108"/>
      <c r="B226" s="192" t="s">
        <v>152</v>
      </c>
      <c r="C226" s="196" t="s">
        <v>151</v>
      </c>
      <c r="D226" s="197" t="s">
        <v>19</v>
      </c>
      <c r="E226" s="133">
        <f>(850+226+10+16+38+47+59+29+44)/1000</f>
        <v>1.319</v>
      </c>
      <c r="F226" s="132">
        <f t="shared" si="74"/>
        <v>1.359</v>
      </c>
      <c r="G226" s="6"/>
      <c r="H226" s="6">
        <f>F226*G226</f>
        <v>0</v>
      </c>
      <c r="I226" s="6"/>
      <c r="J226" s="6"/>
      <c r="K226" s="6"/>
      <c r="L226" s="6"/>
      <c r="M226" s="109">
        <f t="shared" si="73"/>
        <v>0</v>
      </c>
    </row>
    <row r="227" spans="1:13" s="20" customFormat="1" ht="19.95" customHeight="1">
      <c r="A227" s="108"/>
      <c r="B227" s="192" t="s">
        <v>159</v>
      </c>
      <c r="C227" s="196" t="s">
        <v>160</v>
      </c>
      <c r="D227" s="197" t="s">
        <v>19</v>
      </c>
      <c r="E227" s="133">
        <f>(1881+87+195)/1000</f>
        <v>2.1629999999999998</v>
      </c>
      <c r="F227" s="132">
        <f t="shared" si="74"/>
        <v>2.2280000000000002</v>
      </c>
      <c r="G227" s="6"/>
      <c r="H227" s="6">
        <f>F227*G227</f>
        <v>0</v>
      </c>
      <c r="I227" s="6"/>
      <c r="J227" s="6"/>
      <c r="K227" s="6"/>
      <c r="L227" s="6"/>
      <c r="M227" s="109">
        <f t="shared" si="73"/>
        <v>0</v>
      </c>
    </row>
    <row r="228" spans="1:13" s="20" customFormat="1" ht="21.6" customHeight="1">
      <c r="A228" s="108"/>
      <c r="B228" s="198" t="s">
        <v>24</v>
      </c>
      <c r="C228" s="186" t="s">
        <v>25</v>
      </c>
      <c r="D228" s="184" t="s">
        <v>13</v>
      </c>
      <c r="E228" s="131"/>
      <c r="F228" s="131">
        <f>F223</f>
        <v>35</v>
      </c>
      <c r="G228" s="6"/>
      <c r="H228" s="6">
        <f t="shared" ref="H228:H229" si="76">G228*F228</f>
        <v>0</v>
      </c>
      <c r="I228" s="6"/>
      <c r="J228" s="6"/>
      <c r="K228" s="6"/>
      <c r="L228" s="6"/>
      <c r="M228" s="109">
        <f t="shared" si="73"/>
        <v>0</v>
      </c>
    </row>
    <row r="229" spans="1:13" s="20" customFormat="1" ht="21.6" customHeight="1">
      <c r="A229" s="108"/>
      <c r="B229" s="199" t="s">
        <v>22</v>
      </c>
      <c r="C229" s="186" t="s">
        <v>23</v>
      </c>
      <c r="D229" s="184" t="s">
        <v>13</v>
      </c>
      <c r="E229" s="131"/>
      <c r="F229" s="131">
        <f>F223</f>
        <v>35</v>
      </c>
      <c r="G229" s="6"/>
      <c r="H229" s="6">
        <f t="shared" si="76"/>
        <v>0</v>
      </c>
      <c r="I229" s="6"/>
      <c r="J229" s="6"/>
      <c r="K229" s="6"/>
      <c r="L229" s="6"/>
      <c r="M229" s="109">
        <f t="shared" si="73"/>
        <v>0</v>
      </c>
    </row>
    <row r="230" spans="1:13" s="20" customFormat="1" ht="33" customHeight="1">
      <c r="A230" s="108">
        <v>35</v>
      </c>
      <c r="B230" s="187" t="s">
        <v>185</v>
      </c>
      <c r="C230" s="188" t="s">
        <v>88</v>
      </c>
      <c r="D230" s="184" t="s">
        <v>13</v>
      </c>
      <c r="E230" s="131"/>
      <c r="F230" s="130">
        <f>4.03+1.6+5.25+3.22+2.24+2.24+0.48+0.48+0.48+2.42</f>
        <v>22.440000000000005</v>
      </c>
      <c r="G230" s="6"/>
      <c r="H230" s="6"/>
      <c r="I230" s="6"/>
      <c r="J230" s="6"/>
      <c r="K230" s="6"/>
      <c r="L230" s="6"/>
      <c r="M230" s="109"/>
    </row>
    <row r="231" spans="1:13" s="20" customFormat="1" ht="19.95" customHeight="1">
      <c r="A231" s="108"/>
      <c r="B231" s="186" t="s">
        <v>64</v>
      </c>
      <c r="C231" s="186" t="s">
        <v>67</v>
      </c>
      <c r="D231" s="184" t="s">
        <v>13</v>
      </c>
      <c r="E231" s="132">
        <v>1.0149999999999999</v>
      </c>
      <c r="F231" s="131">
        <f>E231*F230</f>
        <v>22.776600000000002</v>
      </c>
      <c r="G231" s="6"/>
      <c r="H231" s="6">
        <f>G231*F231</f>
        <v>0</v>
      </c>
      <c r="I231" s="6"/>
      <c r="J231" s="6"/>
      <c r="K231" s="6"/>
      <c r="L231" s="6">
        <f>K231*F231</f>
        <v>0</v>
      </c>
      <c r="M231" s="109">
        <f t="shared" si="73"/>
        <v>0</v>
      </c>
    </row>
    <row r="232" spans="1:13" s="20" customFormat="1" ht="19.95" customHeight="1">
      <c r="A232" s="108"/>
      <c r="B232" s="192" t="s">
        <v>154</v>
      </c>
      <c r="C232" s="196" t="s">
        <v>153</v>
      </c>
      <c r="D232" s="197" t="s">
        <v>19</v>
      </c>
      <c r="E232" s="133">
        <f>(119+88+47+35+138+103+95+71+73+20+73+20+19+5+19+5+19+5+71+53)/1000</f>
        <v>1.0780000000000001</v>
      </c>
      <c r="F232" s="132">
        <f t="shared" ref="F232:F233" si="77">ROUND(E232*1.03,3)</f>
        <v>1.1100000000000001</v>
      </c>
      <c r="G232" s="6"/>
      <c r="H232" s="6">
        <f>G232*F232</f>
        <v>0</v>
      </c>
      <c r="I232" s="6"/>
      <c r="J232" s="6"/>
      <c r="K232" s="6"/>
      <c r="L232" s="6"/>
      <c r="M232" s="109">
        <f t="shared" si="73"/>
        <v>0</v>
      </c>
    </row>
    <row r="233" spans="1:13" s="20" customFormat="1" ht="19.95" customHeight="1">
      <c r="A233" s="108"/>
      <c r="B233" s="192" t="s">
        <v>161</v>
      </c>
      <c r="C233" s="196" t="s">
        <v>162</v>
      </c>
      <c r="D233" s="197" t="s">
        <v>19</v>
      </c>
      <c r="E233" s="133">
        <f>2682.13/1000</f>
        <v>2.6821299999999999</v>
      </c>
      <c r="F233" s="132">
        <f t="shared" si="77"/>
        <v>2.7629999999999999</v>
      </c>
      <c r="G233" s="6"/>
      <c r="H233" s="6">
        <f>F233*G233</f>
        <v>0</v>
      </c>
      <c r="I233" s="6"/>
      <c r="J233" s="6"/>
      <c r="K233" s="6"/>
      <c r="L233" s="6"/>
      <c r="M233" s="109">
        <f t="shared" si="73"/>
        <v>0</v>
      </c>
    </row>
    <row r="234" spans="1:13" s="20" customFormat="1" ht="19.95" customHeight="1">
      <c r="A234" s="108"/>
      <c r="B234" s="198" t="s">
        <v>32</v>
      </c>
      <c r="C234" s="186" t="s">
        <v>33</v>
      </c>
      <c r="D234" s="184" t="s">
        <v>13</v>
      </c>
      <c r="E234" s="131"/>
      <c r="F234" s="131">
        <f>F230</f>
        <v>22.440000000000005</v>
      </c>
      <c r="G234" s="6"/>
      <c r="H234" s="6">
        <f>G234*F234</f>
        <v>0</v>
      </c>
      <c r="I234" s="6"/>
      <c r="J234" s="6"/>
      <c r="K234" s="6"/>
      <c r="L234" s="6"/>
      <c r="M234" s="109">
        <f t="shared" si="73"/>
        <v>0</v>
      </c>
    </row>
    <row r="235" spans="1:13" s="20" customFormat="1" ht="21.6" customHeight="1">
      <c r="A235" s="108"/>
      <c r="B235" s="199" t="s">
        <v>22</v>
      </c>
      <c r="C235" s="186" t="s">
        <v>23</v>
      </c>
      <c r="D235" s="184" t="s">
        <v>13</v>
      </c>
      <c r="E235" s="131"/>
      <c r="F235" s="131">
        <f>F230</f>
        <v>22.440000000000005</v>
      </c>
      <c r="G235" s="6"/>
      <c r="H235" s="6">
        <f>G235*F235</f>
        <v>0</v>
      </c>
      <c r="I235" s="6"/>
      <c r="J235" s="6"/>
      <c r="K235" s="6"/>
      <c r="L235" s="6"/>
      <c r="M235" s="109">
        <f t="shared" si="73"/>
        <v>0</v>
      </c>
    </row>
    <row r="236" spans="1:13" s="20" customFormat="1" ht="34.950000000000003" customHeight="1">
      <c r="A236" s="108">
        <v>36</v>
      </c>
      <c r="B236" s="187" t="s">
        <v>212</v>
      </c>
      <c r="C236" s="188" t="s">
        <v>89</v>
      </c>
      <c r="D236" s="184" t="s">
        <v>13</v>
      </c>
      <c r="E236" s="131"/>
      <c r="F236" s="130">
        <v>3.1</v>
      </c>
      <c r="G236" s="6"/>
      <c r="H236" s="6"/>
      <c r="I236" s="6"/>
      <c r="J236" s="6"/>
      <c r="K236" s="6"/>
      <c r="L236" s="6"/>
      <c r="M236" s="109"/>
    </row>
    <row r="237" spans="1:13" s="20" customFormat="1" ht="22.2" customHeight="1">
      <c r="A237" s="108"/>
      <c r="B237" s="204" t="s">
        <v>396</v>
      </c>
      <c r="C237" s="204" t="s">
        <v>35</v>
      </c>
      <c r="D237" s="205" t="s">
        <v>34</v>
      </c>
      <c r="E237" s="131">
        <v>22</v>
      </c>
      <c r="F237" s="130"/>
      <c r="G237" s="6"/>
      <c r="H237" s="6"/>
      <c r="I237" s="6"/>
      <c r="J237" s="6">
        <f>I237*E237</f>
        <v>0</v>
      </c>
      <c r="K237" s="6"/>
      <c r="L237" s="6"/>
      <c r="M237" s="109">
        <f>H237+J237+L237</f>
        <v>0</v>
      </c>
    </row>
    <row r="238" spans="1:13" s="20" customFormat="1" ht="19.95" customHeight="1">
      <c r="A238" s="108"/>
      <c r="B238" s="186" t="s">
        <v>64</v>
      </c>
      <c r="C238" s="186" t="s">
        <v>67</v>
      </c>
      <c r="D238" s="184" t="s">
        <v>13</v>
      </c>
      <c r="E238" s="132">
        <v>1.0149999999999999</v>
      </c>
      <c r="F238" s="131">
        <f>E238*F236</f>
        <v>3.1464999999999996</v>
      </c>
      <c r="G238" s="6"/>
      <c r="H238" s="6">
        <f>G238*F238</f>
        <v>0</v>
      </c>
      <c r="I238" s="6"/>
      <c r="J238" s="6"/>
      <c r="K238" s="6"/>
      <c r="L238" s="6">
        <f>K238*F238</f>
        <v>0</v>
      </c>
      <c r="M238" s="109">
        <f t="shared" ref="M238:M242" si="78">L238+J238+H238</f>
        <v>0</v>
      </c>
    </row>
    <row r="239" spans="1:13" s="20" customFormat="1" ht="19.95" customHeight="1">
      <c r="A239" s="108"/>
      <c r="B239" s="192" t="s">
        <v>152</v>
      </c>
      <c r="C239" s="196" t="s">
        <v>151</v>
      </c>
      <c r="D239" s="197" t="s">
        <v>19</v>
      </c>
      <c r="E239" s="133">
        <f>(62+33+26)/1000</f>
        <v>0.121</v>
      </c>
      <c r="F239" s="132">
        <f t="shared" ref="F239:F240" si="79">ROUND(E239*1.03,3)</f>
        <v>0.125</v>
      </c>
      <c r="G239" s="6"/>
      <c r="H239" s="6">
        <f>G239*F239</f>
        <v>0</v>
      </c>
      <c r="I239" s="6"/>
      <c r="J239" s="6"/>
      <c r="K239" s="6"/>
      <c r="L239" s="6"/>
      <c r="M239" s="109">
        <f t="shared" si="78"/>
        <v>0</v>
      </c>
    </row>
    <row r="240" spans="1:13" s="20" customFormat="1" ht="19.95" customHeight="1">
      <c r="A240" s="108"/>
      <c r="B240" s="192" t="s">
        <v>159</v>
      </c>
      <c r="C240" s="196" t="s">
        <v>160</v>
      </c>
      <c r="D240" s="197" t="s">
        <v>19</v>
      </c>
      <c r="E240" s="133">
        <f>(197/1000)</f>
        <v>0.19700000000000001</v>
      </c>
      <c r="F240" s="132">
        <f t="shared" si="79"/>
        <v>0.20300000000000001</v>
      </c>
      <c r="G240" s="6"/>
      <c r="H240" s="6">
        <f>F240*G240</f>
        <v>0</v>
      </c>
      <c r="I240" s="6"/>
      <c r="J240" s="6"/>
      <c r="K240" s="6"/>
      <c r="L240" s="6"/>
      <c r="M240" s="109">
        <f t="shared" si="78"/>
        <v>0</v>
      </c>
    </row>
    <row r="241" spans="1:13" s="20" customFormat="1" ht="19.95" customHeight="1">
      <c r="A241" s="108"/>
      <c r="B241" s="186" t="s">
        <v>36</v>
      </c>
      <c r="C241" s="186" t="s">
        <v>37</v>
      </c>
      <c r="D241" s="184" t="s">
        <v>13</v>
      </c>
      <c r="E241" s="132"/>
      <c r="F241" s="131">
        <f>F236</f>
        <v>3.1</v>
      </c>
      <c r="G241" s="6"/>
      <c r="H241" s="6">
        <f>G241*F241</f>
        <v>0</v>
      </c>
      <c r="I241" s="6"/>
      <c r="J241" s="6"/>
      <c r="K241" s="6"/>
      <c r="L241" s="6"/>
      <c r="M241" s="109">
        <f t="shared" si="78"/>
        <v>0</v>
      </c>
    </row>
    <row r="242" spans="1:13" s="20" customFormat="1" ht="19.95" customHeight="1">
      <c r="A242" s="108"/>
      <c r="B242" s="199" t="s">
        <v>22</v>
      </c>
      <c r="C242" s="186" t="s">
        <v>23</v>
      </c>
      <c r="D242" s="184" t="s">
        <v>13</v>
      </c>
      <c r="E242" s="131"/>
      <c r="F242" s="131">
        <f>F236</f>
        <v>3.1</v>
      </c>
      <c r="G242" s="6"/>
      <c r="H242" s="6">
        <f>G242*F242</f>
        <v>0</v>
      </c>
      <c r="I242" s="6"/>
      <c r="J242" s="6"/>
      <c r="K242" s="6"/>
      <c r="L242" s="6"/>
      <c r="M242" s="109">
        <f t="shared" si="78"/>
        <v>0</v>
      </c>
    </row>
    <row r="243" spans="1:13" s="20" customFormat="1" ht="49.95" customHeight="1">
      <c r="A243" s="108">
        <v>37</v>
      </c>
      <c r="B243" s="193" t="s">
        <v>186</v>
      </c>
      <c r="C243" s="188" t="s">
        <v>90</v>
      </c>
      <c r="D243" s="184" t="s">
        <v>13</v>
      </c>
      <c r="E243" s="131"/>
      <c r="F243" s="130">
        <f>1.72+13.19+1.83</f>
        <v>16.740000000000002</v>
      </c>
      <c r="G243" s="6"/>
      <c r="H243" s="6"/>
      <c r="I243" s="6"/>
      <c r="J243" s="6"/>
      <c r="K243" s="6"/>
      <c r="L243" s="6"/>
      <c r="M243" s="109"/>
    </row>
    <row r="244" spans="1:13" s="20" customFormat="1" ht="19.95" customHeight="1">
      <c r="A244" s="108"/>
      <c r="B244" s="186" t="s">
        <v>64</v>
      </c>
      <c r="C244" s="186" t="s">
        <v>67</v>
      </c>
      <c r="D244" s="184" t="s">
        <v>13</v>
      </c>
      <c r="E244" s="132">
        <v>1.0149999999999999</v>
      </c>
      <c r="F244" s="131">
        <f>E244*F243</f>
        <v>16.991099999999999</v>
      </c>
      <c r="G244" s="6"/>
      <c r="H244" s="6">
        <f>G244*F244</f>
        <v>0</v>
      </c>
      <c r="I244" s="6"/>
      <c r="J244" s="6"/>
      <c r="K244" s="6"/>
      <c r="L244" s="6">
        <f>K244*F244</f>
        <v>0</v>
      </c>
      <c r="M244" s="109">
        <f t="shared" ref="M244:M250" si="80">L244+J244+H244</f>
        <v>0</v>
      </c>
    </row>
    <row r="245" spans="1:13" s="20" customFormat="1" ht="19.2" customHeight="1">
      <c r="A245" s="108"/>
      <c r="B245" s="192" t="s">
        <v>154</v>
      </c>
      <c r="C245" s="196" t="s">
        <v>153</v>
      </c>
      <c r="D245" s="197" t="s">
        <v>19</v>
      </c>
      <c r="E245" s="133">
        <f>(62+621+9+57)/1000</f>
        <v>0.749</v>
      </c>
      <c r="F245" s="132">
        <f t="shared" ref="F245:F248" si="81">ROUND(E245*1.03,3)</f>
        <v>0.77100000000000002</v>
      </c>
      <c r="G245" s="6"/>
      <c r="H245" s="6">
        <f>F245*G245</f>
        <v>0</v>
      </c>
      <c r="I245" s="6"/>
      <c r="J245" s="6"/>
      <c r="K245" s="6"/>
      <c r="L245" s="6"/>
      <c r="M245" s="109">
        <f t="shared" si="80"/>
        <v>0</v>
      </c>
    </row>
    <row r="246" spans="1:13" s="20" customFormat="1" ht="19.95" customHeight="1">
      <c r="A246" s="108"/>
      <c r="B246" s="192" t="s">
        <v>161</v>
      </c>
      <c r="C246" s="196" t="s">
        <v>162</v>
      </c>
      <c r="D246" s="197" t="s">
        <v>19</v>
      </c>
      <c r="E246" s="133">
        <f>(24+12+5)/1000</f>
        <v>4.1000000000000002E-2</v>
      </c>
      <c r="F246" s="132">
        <f t="shared" si="81"/>
        <v>4.2000000000000003E-2</v>
      </c>
      <c r="G246" s="6"/>
      <c r="H246" s="6">
        <f>F246*G246</f>
        <v>0</v>
      </c>
      <c r="I246" s="6"/>
      <c r="J246" s="6"/>
      <c r="K246" s="6"/>
      <c r="L246" s="6"/>
      <c r="M246" s="109">
        <f t="shared" ref="M246" si="82">L246+J246+H246</f>
        <v>0</v>
      </c>
    </row>
    <row r="247" spans="1:13" s="20" customFormat="1" ht="19.95" customHeight="1">
      <c r="A247" s="108"/>
      <c r="B247" s="186" t="s">
        <v>157</v>
      </c>
      <c r="C247" s="186" t="s">
        <v>158</v>
      </c>
      <c r="D247" s="197" t="s">
        <v>19</v>
      </c>
      <c r="E247" s="133">
        <f>(153+889+130)/1000</f>
        <v>1.1719999999999999</v>
      </c>
      <c r="F247" s="132">
        <f t="shared" si="81"/>
        <v>1.2070000000000001</v>
      </c>
      <c r="G247" s="6"/>
      <c r="H247" s="6">
        <f>F247*G247</f>
        <v>0</v>
      </c>
      <c r="I247" s="6"/>
      <c r="J247" s="6"/>
      <c r="K247" s="6"/>
      <c r="L247" s="6"/>
      <c r="M247" s="109">
        <f t="shared" si="80"/>
        <v>0</v>
      </c>
    </row>
    <row r="248" spans="1:13" s="20" customFormat="1" ht="19.95" customHeight="1">
      <c r="A248" s="108"/>
      <c r="B248" s="196" t="s">
        <v>155</v>
      </c>
      <c r="C248" s="196" t="s">
        <v>156</v>
      </c>
      <c r="D248" s="197" t="s">
        <v>19</v>
      </c>
      <c r="E248" s="133">
        <f>(1386+238+202+28)/1000</f>
        <v>1.8540000000000001</v>
      </c>
      <c r="F248" s="132">
        <f t="shared" si="81"/>
        <v>1.91</v>
      </c>
      <c r="G248" s="6"/>
      <c r="H248" s="6">
        <f>F248*G248</f>
        <v>0</v>
      </c>
      <c r="I248" s="6"/>
      <c r="J248" s="6"/>
      <c r="K248" s="6"/>
      <c r="L248" s="6"/>
      <c r="M248" s="109">
        <f t="shared" ref="M248" si="83">L248+J248+H248</f>
        <v>0</v>
      </c>
    </row>
    <row r="249" spans="1:13" s="20" customFormat="1" ht="20.399999999999999" customHeight="1">
      <c r="A249" s="108"/>
      <c r="B249" s="186" t="s">
        <v>30</v>
      </c>
      <c r="C249" s="186" t="s">
        <v>31</v>
      </c>
      <c r="D249" s="184" t="s">
        <v>13</v>
      </c>
      <c r="E249" s="132"/>
      <c r="F249" s="132">
        <f>F243</f>
        <v>16.740000000000002</v>
      </c>
      <c r="G249" s="6"/>
      <c r="H249" s="6">
        <f>G249*F249</f>
        <v>0</v>
      </c>
      <c r="I249" s="6"/>
      <c r="J249" s="6"/>
      <c r="K249" s="6"/>
      <c r="L249" s="6"/>
      <c r="M249" s="109">
        <f t="shared" si="80"/>
        <v>0</v>
      </c>
    </row>
    <row r="250" spans="1:13" s="20" customFormat="1" ht="19.95" customHeight="1">
      <c r="A250" s="108"/>
      <c r="B250" s="199" t="s">
        <v>22</v>
      </c>
      <c r="C250" s="186" t="s">
        <v>23</v>
      </c>
      <c r="D250" s="184" t="s">
        <v>13</v>
      </c>
      <c r="E250" s="131"/>
      <c r="F250" s="131">
        <f>F243</f>
        <v>16.740000000000002</v>
      </c>
      <c r="G250" s="6"/>
      <c r="H250" s="6">
        <f>G250*F250</f>
        <v>0</v>
      </c>
      <c r="I250" s="6"/>
      <c r="J250" s="6"/>
      <c r="K250" s="6"/>
      <c r="L250" s="6"/>
      <c r="M250" s="109">
        <f t="shared" si="80"/>
        <v>0</v>
      </c>
    </row>
    <row r="251" spans="1:13" s="20" customFormat="1" ht="49.2" customHeight="1">
      <c r="A251" s="108">
        <v>38</v>
      </c>
      <c r="B251" s="187" t="s">
        <v>187</v>
      </c>
      <c r="C251" s="188" t="s">
        <v>91</v>
      </c>
      <c r="D251" s="184" t="s">
        <v>13</v>
      </c>
      <c r="E251" s="131"/>
      <c r="F251" s="130">
        <v>184.02</v>
      </c>
      <c r="G251" s="6"/>
      <c r="H251" s="6"/>
      <c r="I251" s="6"/>
      <c r="J251" s="6"/>
      <c r="K251" s="6"/>
      <c r="L251" s="6"/>
      <c r="M251" s="109"/>
    </row>
    <row r="252" spans="1:13" s="20" customFormat="1" ht="22.95" customHeight="1">
      <c r="A252" s="108"/>
      <c r="B252" s="199" t="s">
        <v>26</v>
      </c>
      <c r="C252" s="204" t="s">
        <v>27</v>
      </c>
      <c r="D252" s="195" t="s">
        <v>16</v>
      </c>
      <c r="E252" s="131">
        <f>F251/0.22</f>
        <v>836.4545454545455</v>
      </c>
      <c r="F252" s="130"/>
      <c r="G252" s="6"/>
      <c r="H252" s="6"/>
      <c r="I252" s="6"/>
      <c r="J252" s="6">
        <f>I252*E252</f>
        <v>0</v>
      </c>
      <c r="K252" s="6"/>
      <c r="L252" s="6"/>
      <c r="M252" s="109">
        <f t="shared" ref="M252:M257" si="84">L252+J252+H252</f>
        <v>0</v>
      </c>
    </row>
    <row r="253" spans="1:13" s="20" customFormat="1" ht="20.399999999999999" customHeight="1">
      <c r="A253" s="108"/>
      <c r="B253" s="186" t="s">
        <v>64</v>
      </c>
      <c r="C253" s="186" t="s">
        <v>67</v>
      </c>
      <c r="D253" s="184" t="s">
        <v>13</v>
      </c>
      <c r="E253" s="132">
        <v>1.0149999999999999</v>
      </c>
      <c r="F253" s="131">
        <f>E253*F251</f>
        <v>186.78029999999998</v>
      </c>
      <c r="G253" s="6"/>
      <c r="H253" s="6">
        <f>G253*F253</f>
        <v>0</v>
      </c>
      <c r="I253" s="6"/>
      <c r="J253" s="6"/>
      <c r="K253" s="6"/>
      <c r="L253" s="6">
        <f>K253*F253</f>
        <v>0</v>
      </c>
      <c r="M253" s="109">
        <f t="shared" si="84"/>
        <v>0</v>
      </c>
    </row>
    <row r="254" spans="1:13" s="20" customFormat="1" ht="19.95" customHeight="1">
      <c r="A254" s="108"/>
      <c r="B254" s="192" t="s">
        <v>159</v>
      </c>
      <c r="C254" s="196" t="s">
        <v>160</v>
      </c>
      <c r="D254" s="197" t="s">
        <v>19</v>
      </c>
      <c r="E254" s="133">
        <f>(17145+2675+51+507+616+450+55+1357+1192)/1000</f>
        <v>24.047999999999998</v>
      </c>
      <c r="F254" s="132">
        <f t="shared" ref="F254:F255" si="85">ROUND(E254*1.03,3)</f>
        <v>24.768999999999998</v>
      </c>
      <c r="G254" s="6"/>
      <c r="H254" s="6">
        <f>F254*G254</f>
        <v>0</v>
      </c>
      <c r="I254" s="6"/>
      <c r="J254" s="6"/>
      <c r="K254" s="6"/>
      <c r="L254" s="6"/>
      <c r="M254" s="109">
        <f t="shared" si="84"/>
        <v>0</v>
      </c>
    </row>
    <row r="255" spans="1:13" s="20" customFormat="1" ht="19.95" customHeight="1">
      <c r="A255" s="108"/>
      <c r="B255" s="192" t="s">
        <v>161</v>
      </c>
      <c r="C255" s="196" t="s">
        <v>162</v>
      </c>
      <c r="D255" s="197" t="s">
        <v>19</v>
      </c>
      <c r="E255" s="133">
        <f>(145+125+9)/1000</f>
        <v>0.27900000000000003</v>
      </c>
      <c r="F255" s="132">
        <f t="shared" si="85"/>
        <v>0.28699999999999998</v>
      </c>
      <c r="G255" s="6"/>
      <c r="H255" s="6">
        <f>F255*G255</f>
        <v>0</v>
      </c>
      <c r="I255" s="6"/>
      <c r="J255" s="6"/>
      <c r="K255" s="6"/>
      <c r="L255" s="6"/>
      <c r="M255" s="109">
        <f t="shared" si="84"/>
        <v>0</v>
      </c>
    </row>
    <row r="256" spans="1:13" s="20" customFormat="1" ht="19.95" customHeight="1">
      <c r="A256" s="108"/>
      <c r="B256" s="207" t="s">
        <v>28</v>
      </c>
      <c r="C256" s="186" t="s">
        <v>29</v>
      </c>
      <c r="D256" s="184" t="s">
        <v>13</v>
      </c>
      <c r="E256" s="132"/>
      <c r="F256" s="131">
        <f>F251</f>
        <v>184.02</v>
      </c>
      <c r="G256" s="6"/>
      <c r="H256" s="6">
        <f t="shared" ref="H256:H257" si="86">G256*F256</f>
        <v>0</v>
      </c>
      <c r="I256" s="6"/>
      <c r="J256" s="6"/>
      <c r="K256" s="6"/>
      <c r="L256" s="6"/>
      <c r="M256" s="109">
        <f t="shared" si="84"/>
        <v>0</v>
      </c>
    </row>
    <row r="257" spans="1:13" s="20" customFormat="1" ht="19.95" customHeight="1">
      <c r="A257" s="108"/>
      <c r="B257" s="199" t="s">
        <v>22</v>
      </c>
      <c r="C257" s="186" t="s">
        <v>23</v>
      </c>
      <c r="D257" s="184" t="s">
        <v>13</v>
      </c>
      <c r="E257" s="131"/>
      <c r="F257" s="131">
        <f>F251</f>
        <v>184.02</v>
      </c>
      <c r="G257" s="6"/>
      <c r="H257" s="6">
        <f t="shared" si="86"/>
        <v>0</v>
      </c>
      <c r="I257" s="6"/>
      <c r="J257" s="6"/>
      <c r="K257" s="6"/>
      <c r="L257" s="6"/>
      <c r="M257" s="109">
        <f t="shared" si="84"/>
        <v>0</v>
      </c>
    </row>
    <row r="258" spans="1:13" s="20" customFormat="1" ht="19.95" customHeight="1">
      <c r="A258" s="14"/>
      <c r="B258" s="180" t="s">
        <v>51</v>
      </c>
      <c r="C258" s="181" t="s">
        <v>53</v>
      </c>
      <c r="D258" s="169"/>
      <c r="E258" s="125"/>
      <c r="F258" s="125"/>
      <c r="G258" s="4"/>
      <c r="H258" s="4"/>
      <c r="I258" s="4"/>
      <c r="J258" s="4"/>
      <c r="K258" s="4"/>
      <c r="L258" s="4"/>
      <c r="M258" s="94"/>
    </row>
    <row r="259" spans="1:13" s="20" customFormat="1" ht="48.6" customHeight="1">
      <c r="A259" s="91">
        <v>39</v>
      </c>
      <c r="B259" s="172" t="s">
        <v>184</v>
      </c>
      <c r="C259" s="163" t="s">
        <v>128</v>
      </c>
      <c r="D259" s="159" t="s">
        <v>13</v>
      </c>
      <c r="E259" s="124"/>
      <c r="F259" s="123">
        <f>33+2</f>
        <v>35</v>
      </c>
      <c r="G259" s="3"/>
      <c r="H259" s="3"/>
      <c r="I259" s="3"/>
      <c r="J259" s="3"/>
      <c r="K259" s="3"/>
      <c r="L259" s="3"/>
      <c r="M259" s="92"/>
    </row>
    <row r="260" spans="1:13" s="20" customFormat="1" ht="19.95" customHeight="1">
      <c r="A260" s="91"/>
      <c r="B260" s="175" t="s">
        <v>64</v>
      </c>
      <c r="C260" s="161" t="s">
        <v>67</v>
      </c>
      <c r="D260" s="159" t="s">
        <v>13</v>
      </c>
      <c r="E260" s="127">
        <v>1.0149999999999999</v>
      </c>
      <c r="F260" s="124">
        <f>E260*F259</f>
        <v>35.524999999999999</v>
      </c>
      <c r="G260" s="3"/>
      <c r="H260" s="3">
        <f>G260*F260</f>
        <v>0</v>
      </c>
      <c r="I260" s="3"/>
      <c r="J260" s="3"/>
      <c r="K260" s="3"/>
      <c r="L260" s="3">
        <f>K260*F260</f>
        <v>0</v>
      </c>
      <c r="M260" s="92">
        <f t="shared" ref="M259:M265" si="87">L260+J260+H260</f>
        <v>0</v>
      </c>
    </row>
    <row r="261" spans="1:13" s="20" customFormat="1" ht="19.95" customHeight="1">
      <c r="A261" s="91"/>
      <c r="B261" s="166" t="s">
        <v>154</v>
      </c>
      <c r="C261" s="176" t="s">
        <v>153</v>
      </c>
      <c r="D261" s="177" t="s">
        <v>19</v>
      </c>
      <c r="E261" s="128">
        <f>(2)/1000</f>
        <v>2E-3</v>
      </c>
      <c r="F261" s="127">
        <f t="shared" ref="F261:F263" si="88">ROUND(E261*1.03,3)</f>
        <v>2E-3</v>
      </c>
      <c r="G261" s="3"/>
      <c r="H261" s="3">
        <f t="shared" ref="H261" si="89">G261*F261</f>
        <v>0</v>
      </c>
      <c r="I261" s="3"/>
      <c r="J261" s="3"/>
      <c r="K261" s="3"/>
      <c r="L261" s="3"/>
      <c r="M261" s="92">
        <f t="shared" si="87"/>
        <v>0</v>
      </c>
    </row>
    <row r="262" spans="1:13" s="20" customFormat="1" ht="19.95" customHeight="1">
      <c r="A262" s="91"/>
      <c r="B262" s="166" t="s">
        <v>152</v>
      </c>
      <c r="C262" s="176" t="s">
        <v>151</v>
      </c>
      <c r="D262" s="177" t="s">
        <v>19</v>
      </c>
      <c r="E262" s="128">
        <f>(850+226+10+16+38+47+52+29+44)/1000</f>
        <v>1.3120000000000001</v>
      </c>
      <c r="F262" s="127">
        <f t="shared" si="88"/>
        <v>1.351</v>
      </c>
      <c r="G262" s="3"/>
      <c r="H262" s="3">
        <f>F262*G262</f>
        <v>0</v>
      </c>
      <c r="I262" s="3"/>
      <c r="J262" s="3"/>
      <c r="K262" s="3"/>
      <c r="L262" s="3"/>
      <c r="M262" s="92">
        <f t="shared" si="87"/>
        <v>0</v>
      </c>
    </row>
    <row r="263" spans="1:13" s="20" customFormat="1" ht="19.95" customHeight="1">
      <c r="A263" s="91"/>
      <c r="B263" s="166" t="s">
        <v>159</v>
      </c>
      <c r="C263" s="176" t="s">
        <v>160</v>
      </c>
      <c r="D263" s="177" t="s">
        <v>19</v>
      </c>
      <c r="E263" s="128">
        <f>(1881+87+195)/1000</f>
        <v>2.1629999999999998</v>
      </c>
      <c r="F263" s="127">
        <f t="shared" si="88"/>
        <v>2.2280000000000002</v>
      </c>
      <c r="G263" s="3"/>
      <c r="H263" s="3">
        <f>F263*G263</f>
        <v>0</v>
      </c>
      <c r="I263" s="3"/>
      <c r="J263" s="3"/>
      <c r="K263" s="3"/>
      <c r="L263" s="3"/>
      <c r="M263" s="92">
        <f t="shared" si="87"/>
        <v>0</v>
      </c>
    </row>
    <row r="264" spans="1:13" s="20" customFormat="1" ht="21.6" customHeight="1">
      <c r="A264" s="91"/>
      <c r="B264" s="178" t="s">
        <v>24</v>
      </c>
      <c r="C264" s="161" t="s">
        <v>25</v>
      </c>
      <c r="D264" s="159" t="s">
        <v>13</v>
      </c>
      <c r="E264" s="124"/>
      <c r="F264" s="124">
        <f>F259</f>
        <v>35</v>
      </c>
      <c r="G264" s="3"/>
      <c r="H264" s="3">
        <f t="shared" ref="H264:H265" si="90">G264*F264</f>
        <v>0</v>
      </c>
      <c r="I264" s="3"/>
      <c r="J264" s="3"/>
      <c r="K264" s="3"/>
      <c r="L264" s="3"/>
      <c r="M264" s="92">
        <f t="shared" si="87"/>
        <v>0</v>
      </c>
    </row>
    <row r="265" spans="1:13" s="20" customFormat="1" ht="21.6" customHeight="1">
      <c r="A265" s="91"/>
      <c r="B265" s="179" t="s">
        <v>22</v>
      </c>
      <c r="C265" s="161" t="s">
        <v>23</v>
      </c>
      <c r="D265" s="159" t="s">
        <v>13</v>
      </c>
      <c r="E265" s="124"/>
      <c r="F265" s="124">
        <f>F259</f>
        <v>35</v>
      </c>
      <c r="G265" s="3"/>
      <c r="H265" s="3">
        <f t="shared" si="90"/>
        <v>0</v>
      </c>
      <c r="I265" s="3"/>
      <c r="J265" s="3"/>
      <c r="K265" s="3"/>
      <c r="L265" s="3"/>
      <c r="M265" s="92">
        <f t="shared" si="87"/>
        <v>0</v>
      </c>
    </row>
    <row r="266" spans="1:13" s="20" customFormat="1" ht="33" customHeight="1">
      <c r="A266" s="91">
        <v>40</v>
      </c>
      <c r="B266" s="162" t="s">
        <v>185</v>
      </c>
      <c r="C266" s="163" t="s">
        <v>88</v>
      </c>
      <c r="D266" s="159" t="s">
        <v>13</v>
      </c>
      <c r="E266" s="124"/>
      <c r="F266" s="123">
        <f>4.03+1.61+5.21+3.22+2.25+2.43+0.48+0.48+0.48+2.42</f>
        <v>22.61</v>
      </c>
      <c r="G266" s="3"/>
      <c r="H266" s="3"/>
      <c r="I266" s="3"/>
      <c r="J266" s="3"/>
      <c r="K266" s="3"/>
      <c r="L266" s="3"/>
      <c r="M266" s="92"/>
    </row>
    <row r="267" spans="1:13" s="20" customFormat="1" ht="19.95" customHeight="1">
      <c r="A267" s="91"/>
      <c r="B267" s="175" t="s">
        <v>64</v>
      </c>
      <c r="C267" s="161" t="s">
        <v>67</v>
      </c>
      <c r="D267" s="159" t="s">
        <v>13</v>
      </c>
      <c r="E267" s="127">
        <v>1.0149999999999999</v>
      </c>
      <c r="F267" s="124">
        <f>E267*F266</f>
        <v>22.949149999999996</v>
      </c>
      <c r="G267" s="3"/>
      <c r="H267" s="3">
        <f>G267*F267</f>
        <v>0</v>
      </c>
      <c r="I267" s="3"/>
      <c r="J267" s="3"/>
      <c r="K267" s="3"/>
      <c r="L267" s="3">
        <f>K267*F267</f>
        <v>0</v>
      </c>
      <c r="M267" s="92">
        <f t="shared" ref="M267:M270" si="91">L267+J267+H267</f>
        <v>0</v>
      </c>
    </row>
    <row r="268" spans="1:13" s="20" customFormat="1" ht="19.95" customHeight="1">
      <c r="A268" s="91"/>
      <c r="B268" s="166" t="s">
        <v>154</v>
      </c>
      <c r="C268" s="176" t="s">
        <v>153</v>
      </c>
      <c r="D268" s="177" t="s">
        <v>19</v>
      </c>
      <c r="E268" s="128">
        <f>(104+77+42+31+125+93+86+64+18+57+18+57+16+5+17+5+17+5+65+48)/1000</f>
        <v>0.95</v>
      </c>
      <c r="F268" s="127">
        <f>ROUND(E268*1.03,3)</f>
        <v>0.97899999999999998</v>
      </c>
      <c r="G268" s="3"/>
      <c r="H268" s="3">
        <f>G268*F268</f>
        <v>0</v>
      </c>
      <c r="I268" s="3"/>
      <c r="J268" s="3"/>
      <c r="K268" s="3"/>
      <c r="L268" s="3"/>
      <c r="M268" s="92">
        <f t="shared" si="91"/>
        <v>0</v>
      </c>
    </row>
    <row r="269" spans="1:13" s="20" customFormat="1" ht="19.95" customHeight="1">
      <c r="A269" s="91"/>
      <c r="B269" s="178" t="s">
        <v>32</v>
      </c>
      <c r="C269" s="161" t="s">
        <v>33</v>
      </c>
      <c r="D269" s="159" t="s">
        <v>13</v>
      </c>
      <c r="E269" s="124"/>
      <c r="F269" s="124">
        <f>F266</f>
        <v>22.61</v>
      </c>
      <c r="G269" s="3"/>
      <c r="H269" s="3">
        <f>G269*F269</f>
        <v>0</v>
      </c>
      <c r="I269" s="3"/>
      <c r="J269" s="3"/>
      <c r="K269" s="3"/>
      <c r="L269" s="3"/>
      <c r="M269" s="92">
        <f t="shared" si="91"/>
        <v>0</v>
      </c>
    </row>
    <row r="270" spans="1:13" s="20" customFormat="1" ht="21.6" customHeight="1">
      <c r="A270" s="91"/>
      <c r="B270" s="179" t="s">
        <v>22</v>
      </c>
      <c r="C270" s="161" t="s">
        <v>23</v>
      </c>
      <c r="D270" s="159" t="s">
        <v>13</v>
      </c>
      <c r="E270" s="124"/>
      <c r="F270" s="124">
        <f>F266</f>
        <v>22.61</v>
      </c>
      <c r="G270" s="3"/>
      <c r="H270" s="3">
        <f>G270*F270</f>
        <v>0</v>
      </c>
      <c r="I270" s="3"/>
      <c r="J270" s="3"/>
      <c r="K270" s="3"/>
      <c r="L270" s="3"/>
      <c r="M270" s="92">
        <f t="shared" si="91"/>
        <v>0</v>
      </c>
    </row>
    <row r="271" spans="1:13" s="20" customFormat="1" ht="34.950000000000003" customHeight="1">
      <c r="A271" s="91">
        <v>41</v>
      </c>
      <c r="B271" s="162" t="s">
        <v>213</v>
      </c>
      <c r="C271" s="163" t="s">
        <v>89</v>
      </c>
      <c r="D271" s="159" t="s">
        <v>13</v>
      </c>
      <c r="E271" s="124"/>
      <c r="F271" s="123">
        <v>3.1</v>
      </c>
      <c r="G271" s="3"/>
      <c r="H271" s="3"/>
      <c r="I271" s="3"/>
      <c r="J271" s="3"/>
      <c r="K271" s="3"/>
      <c r="L271" s="3"/>
      <c r="M271" s="92"/>
    </row>
    <row r="272" spans="1:13" s="20" customFormat="1" ht="22.2" customHeight="1">
      <c r="A272" s="91"/>
      <c r="B272" s="202" t="s">
        <v>396</v>
      </c>
      <c r="C272" s="202" t="s">
        <v>35</v>
      </c>
      <c r="D272" s="203" t="s">
        <v>34</v>
      </c>
      <c r="E272" s="124">
        <v>22</v>
      </c>
      <c r="F272" s="123"/>
      <c r="G272" s="3"/>
      <c r="H272" s="3"/>
      <c r="I272" s="3"/>
      <c r="J272" s="3">
        <f>I272*E272</f>
        <v>0</v>
      </c>
      <c r="K272" s="3"/>
      <c r="L272" s="3"/>
      <c r="M272" s="92">
        <f>H272+J272+L272</f>
        <v>0</v>
      </c>
    </row>
    <row r="273" spans="1:13" s="20" customFormat="1" ht="19.95" customHeight="1">
      <c r="A273" s="91"/>
      <c r="B273" s="175" t="s">
        <v>64</v>
      </c>
      <c r="C273" s="161" t="s">
        <v>67</v>
      </c>
      <c r="D273" s="159" t="s">
        <v>13</v>
      </c>
      <c r="E273" s="127">
        <v>1.0149999999999999</v>
      </c>
      <c r="F273" s="124">
        <f>E273*F271</f>
        <v>3.1464999999999996</v>
      </c>
      <c r="G273" s="3"/>
      <c r="H273" s="3">
        <f>G273*F273</f>
        <v>0</v>
      </c>
      <c r="I273" s="3"/>
      <c r="J273" s="3"/>
      <c r="K273" s="3"/>
      <c r="L273" s="3">
        <f>K273*F273</f>
        <v>0</v>
      </c>
      <c r="M273" s="92">
        <f t="shared" ref="M273:M277" si="92">L273+J273+H273</f>
        <v>0</v>
      </c>
    </row>
    <row r="274" spans="1:13" s="20" customFormat="1" ht="19.95" customHeight="1">
      <c r="A274" s="91"/>
      <c r="B274" s="166" t="s">
        <v>152</v>
      </c>
      <c r="C274" s="176" t="s">
        <v>151</v>
      </c>
      <c r="D274" s="177" t="s">
        <v>19</v>
      </c>
      <c r="E274" s="128">
        <f>(62+33+26)/1000</f>
        <v>0.121</v>
      </c>
      <c r="F274" s="127">
        <f t="shared" ref="F274:F275" si="93">ROUND(E274*1.03,3)</f>
        <v>0.125</v>
      </c>
      <c r="G274" s="3"/>
      <c r="H274" s="3">
        <f>G274*F274</f>
        <v>0</v>
      </c>
      <c r="I274" s="3"/>
      <c r="J274" s="3"/>
      <c r="K274" s="3"/>
      <c r="L274" s="3"/>
      <c r="M274" s="92">
        <f t="shared" si="92"/>
        <v>0</v>
      </c>
    </row>
    <row r="275" spans="1:13" s="20" customFormat="1" ht="19.95" customHeight="1">
      <c r="A275" s="91"/>
      <c r="B275" s="166" t="s">
        <v>159</v>
      </c>
      <c r="C275" s="176" t="s">
        <v>160</v>
      </c>
      <c r="D275" s="177" t="s">
        <v>19</v>
      </c>
      <c r="E275" s="128">
        <f>(197/1000)</f>
        <v>0.19700000000000001</v>
      </c>
      <c r="F275" s="127">
        <f t="shared" si="93"/>
        <v>0.20300000000000001</v>
      </c>
      <c r="G275" s="3"/>
      <c r="H275" s="3">
        <f>F275*G275</f>
        <v>0</v>
      </c>
      <c r="I275" s="3"/>
      <c r="J275" s="3"/>
      <c r="K275" s="3"/>
      <c r="L275" s="3"/>
      <c r="M275" s="92">
        <f t="shared" si="92"/>
        <v>0</v>
      </c>
    </row>
    <row r="276" spans="1:13" s="20" customFormat="1" ht="19.95" customHeight="1">
      <c r="A276" s="91"/>
      <c r="B276" s="161" t="s">
        <v>36</v>
      </c>
      <c r="C276" s="161" t="s">
        <v>37</v>
      </c>
      <c r="D276" s="159" t="s">
        <v>13</v>
      </c>
      <c r="E276" s="127"/>
      <c r="F276" s="124">
        <f>F271</f>
        <v>3.1</v>
      </c>
      <c r="G276" s="3"/>
      <c r="H276" s="3">
        <f>G276*F276</f>
        <v>0</v>
      </c>
      <c r="I276" s="3"/>
      <c r="J276" s="3"/>
      <c r="K276" s="3"/>
      <c r="L276" s="3"/>
      <c r="M276" s="92">
        <f t="shared" si="92"/>
        <v>0</v>
      </c>
    </row>
    <row r="277" spans="1:13" s="20" customFormat="1" ht="19.95" customHeight="1">
      <c r="A277" s="91"/>
      <c r="B277" s="179" t="s">
        <v>22</v>
      </c>
      <c r="C277" s="161" t="s">
        <v>23</v>
      </c>
      <c r="D277" s="159" t="s">
        <v>13</v>
      </c>
      <c r="E277" s="124"/>
      <c r="F277" s="124">
        <f>F271</f>
        <v>3.1</v>
      </c>
      <c r="G277" s="3"/>
      <c r="H277" s="3">
        <f>G277*F277</f>
        <v>0</v>
      </c>
      <c r="I277" s="3"/>
      <c r="J277" s="3"/>
      <c r="K277" s="3"/>
      <c r="L277" s="3"/>
      <c r="M277" s="92">
        <f t="shared" si="92"/>
        <v>0</v>
      </c>
    </row>
    <row r="278" spans="1:13" s="20" customFormat="1" ht="49.95" customHeight="1">
      <c r="A278" s="91">
        <v>42</v>
      </c>
      <c r="B278" s="172" t="s">
        <v>186</v>
      </c>
      <c r="C278" s="163" t="s">
        <v>90</v>
      </c>
      <c r="D278" s="159" t="s">
        <v>13</v>
      </c>
      <c r="E278" s="124"/>
      <c r="F278" s="123">
        <f>14.54+1.55</f>
        <v>16.09</v>
      </c>
      <c r="G278" s="3"/>
      <c r="H278" s="3"/>
      <c r="I278" s="3"/>
      <c r="J278" s="3"/>
      <c r="K278" s="3"/>
      <c r="L278" s="3"/>
      <c r="M278" s="92"/>
    </row>
    <row r="279" spans="1:13" s="20" customFormat="1" ht="19.95" customHeight="1">
      <c r="A279" s="91"/>
      <c r="B279" s="175" t="s">
        <v>64</v>
      </c>
      <c r="C279" s="161" t="s">
        <v>67</v>
      </c>
      <c r="D279" s="159" t="s">
        <v>13</v>
      </c>
      <c r="E279" s="127">
        <v>1.0149999999999999</v>
      </c>
      <c r="F279" s="124">
        <f>E279*F278</f>
        <v>16.331349999999997</v>
      </c>
      <c r="G279" s="3"/>
      <c r="H279" s="3">
        <f>G279*F279</f>
        <v>0</v>
      </c>
      <c r="I279" s="3"/>
      <c r="J279" s="3"/>
      <c r="K279" s="3"/>
      <c r="L279" s="3">
        <f>K279*F279</f>
        <v>0</v>
      </c>
      <c r="M279" s="92">
        <f t="shared" ref="M279:M291" si="94">L279+J279+H279</f>
        <v>0</v>
      </c>
    </row>
    <row r="280" spans="1:13" s="20" customFormat="1" ht="19.2" customHeight="1">
      <c r="A280" s="91"/>
      <c r="B280" s="166" t="s">
        <v>154</v>
      </c>
      <c r="C280" s="176" t="s">
        <v>153</v>
      </c>
      <c r="D280" s="177" t="s">
        <v>19</v>
      </c>
      <c r="E280" s="128">
        <f>(679+54)/1000</f>
        <v>0.73299999999999998</v>
      </c>
      <c r="F280" s="127">
        <f t="shared" ref="F280:F282" si="95">ROUND(E280*1.03,3)</f>
        <v>0.755</v>
      </c>
      <c r="G280" s="3"/>
      <c r="H280" s="3">
        <f>F280*G280</f>
        <v>0</v>
      </c>
      <c r="I280" s="3"/>
      <c r="J280" s="3"/>
      <c r="K280" s="3"/>
      <c r="L280" s="3"/>
      <c r="M280" s="92">
        <f t="shared" si="94"/>
        <v>0</v>
      </c>
    </row>
    <row r="281" spans="1:13" s="20" customFormat="1" ht="19.95" customHeight="1">
      <c r="A281" s="91"/>
      <c r="B281" s="161" t="s">
        <v>157</v>
      </c>
      <c r="C281" s="161" t="s">
        <v>158</v>
      </c>
      <c r="D281" s="177" t="s">
        <v>19</v>
      </c>
      <c r="E281" s="128">
        <f>(730+132)/1000</f>
        <v>0.86199999999999999</v>
      </c>
      <c r="F281" s="127">
        <f t="shared" si="95"/>
        <v>0.88800000000000001</v>
      </c>
      <c r="G281" s="3"/>
      <c r="H281" s="3">
        <f>F281*G281</f>
        <v>0</v>
      </c>
      <c r="I281" s="3"/>
      <c r="J281" s="3"/>
      <c r="K281" s="3"/>
      <c r="L281" s="3"/>
      <c r="M281" s="92">
        <f t="shared" si="94"/>
        <v>0</v>
      </c>
    </row>
    <row r="282" spans="1:13" s="20" customFormat="1" ht="19.95" customHeight="1">
      <c r="A282" s="91"/>
      <c r="B282" s="176" t="s">
        <v>155</v>
      </c>
      <c r="C282" s="176" t="s">
        <v>156</v>
      </c>
      <c r="D282" s="177" t="s">
        <v>19</v>
      </c>
      <c r="E282" s="128">
        <f>(1137+206)/1000</f>
        <v>1.343</v>
      </c>
      <c r="F282" s="127">
        <f t="shared" si="95"/>
        <v>1.383</v>
      </c>
      <c r="G282" s="3"/>
      <c r="H282" s="3">
        <f>F282*G282</f>
        <v>0</v>
      </c>
      <c r="I282" s="3"/>
      <c r="J282" s="3"/>
      <c r="K282" s="3"/>
      <c r="L282" s="3"/>
      <c r="M282" s="92">
        <f t="shared" si="94"/>
        <v>0</v>
      </c>
    </row>
    <row r="283" spans="1:13" s="20" customFormat="1" ht="20.399999999999999" customHeight="1">
      <c r="A283" s="91"/>
      <c r="B283" s="161" t="s">
        <v>30</v>
      </c>
      <c r="C283" s="161" t="s">
        <v>31</v>
      </c>
      <c r="D283" s="159" t="s">
        <v>13</v>
      </c>
      <c r="E283" s="127"/>
      <c r="F283" s="127">
        <f>F278</f>
        <v>16.09</v>
      </c>
      <c r="G283" s="3"/>
      <c r="H283" s="3">
        <f>G283*F283</f>
        <v>0</v>
      </c>
      <c r="I283" s="3"/>
      <c r="J283" s="3"/>
      <c r="K283" s="3"/>
      <c r="L283" s="3"/>
      <c r="M283" s="92">
        <f t="shared" si="94"/>
        <v>0</v>
      </c>
    </row>
    <row r="284" spans="1:13" s="20" customFormat="1" ht="19.95" customHeight="1">
      <c r="A284" s="91"/>
      <c r="B284" s="179" t="s">
        <v>22</v>
      </c>
      <c r="C284" s="161" t="s">
        <v>23</v>
      </c>
      <c r="D284" s="159" t="s">
        <v>13</v>
      </c>
      <c r="E284" s="124"/>
      <c r="F284" s="124">
        <f>F278</f>
        <v>16.09</v>
      </c>
      <c r="G284" s="3"/>
      <c r="H284" s="3">
        <f>G284*F284</f>
        <v>0</v>
      </c>
      <c r="I284" s="3"/>
      <c r="J284" s="3"/>
      <c r="K284" s="3"/>
      <c r="L284" s="3"/>
      <c r="M284" s="92">
        <f t="shared" si="94"/>
        <v>0</v>
      </c>
    </row>
    <row r="285" spans="1:13" s="20" customFormat="1" ht="49.2" customHeight="1">
      <c r="A285" s="91">
        <v>43</v>
      </c>
      <c r="B285" s="162" t="s">
        <v>187</v>
      </c>
      <c r="C285" s="163" t="s">
        <v>91</v>
      </c>
      <c r="D285" s="159" t="s">
        <v>13</v>
      </c>
      <c r="E285" s="124"/>
      <c r="F285" s="123">
        <v>182.8</v>
      </c>
      <c r="G285" s="3"/>
      <c r="H285" s="3"/>
      <c r="I285" s="3"/>
      <c r="J285" s="3"/>
      <c r="K285" s="3"/>
      <c r="L285" s="3"/>
      <c r="M285" s="92"/>
    </row>
    <row r="286" spans="1:13" s="20" customFormat="1" ht="22.95" customHeight="1">
      <c r="A286" s="91"/>
      <c r="B286" s="179" t="s">
        <v>26</v>
      </c>
      <c r="C286" s="202" t="s">
        <v>27</v>
      </c>
      <c r="D286" s="174" t="s">
        <v>16</v>
      </c>
      <c r="E286" s="124">
        <f>F285/0.22</f>
        <v>830.90909090909099</v>
      </c>
      <c r="F286" s="123"/>
      <c r="G286" s="3"/>
      <c r="H286" s="3"/>
      <c r="I286" s="3"/>
      <c r="J286" s="3">
        <f>I286*E286</f>
        <v>0</v>
      </c>
      <c r="K286" s="3"/>
      <c r="L286" s="3"/>
      <c r="M286" s="92">
        <f t="shared" si="94"/>
        <v>0</v>
      </c>
    </row>
    <row r="287" spans="1:13" s="20" customFormat="1" ht="20.399999999999999" customHeight="1">
      <c r="A287" s="91"/>
      <c r="B287" s="175" t="s">
        <v>64</v>
      </c>
      <c r="C287" s="161" t="s">
        <v>67</v>
      </c>
      <c r="D287" s="159" t="s">
        <v>13</v>
      </c>
      <c r="E287" s="127">
        <v>1.0149999999999999</v>
      </c>
      <c r="F287" s="124">
        <f>E287*F285</f>
        <v>185.542</v>
      </c>
      <c r="G287" s="3"/>
      <c r="H287" s="3">
        <f>G287*F287</f>
        <v>0</v>
      </c>
      <c r="I287" s="3"/>
      <c r="J287" s="3"/>
      <c r="K287" s="3"/>
      <c r="L287" s="3">
        <f>K287*F287</f>
        <v>0</v>
      </c>
      <c r="M287" s="92">
        <f t="shared" si="94"/>
        <v>0</v>
      </c>
    </row>
    <row r="288" spans="1:13" s="20" customFormat="1" ht="19.95" customHeight="1">
      <c r="A288" s="91"/>
      <c r="B288" s="166" t="s">
        <v>159</v>
      </c>
      <c r="C288" s="176" t="s">
        <v>160</v>
      </c>
      <c r="D288" s="177" t="s">
        <v>19</v>
      </c>
      <c r="E288" s="128">
        <f>(17013+2460+209+57+507+663+485+55+1346+1185)/1000</f>
        <v>23.98</v>
      </c>
      <c r="F288" s="127">
        <f t="shared" ref="F288:F289" si="96">ROUND(E288*1.03,3)</f>
        <v>24.699000000000002</v>
      </c>
      <c r="G288" s="3"/>
      <c r="H288" s="3">
        <f>F288*G288</f>
        <v>0</v>
      </c>
      <c r="I288" s="3"/>
      <c r="J288" s="3"/>
      <c r="K288" s="3"/>
      <c r="L288" s="3"/>
      <c r="M288" s="92">
        <f t="shared" si="94"/>
        <v>0</v>
      </c>
    </row>
    <row r="289" spans="1:13" s="20" customFormat="1" ht="19.95" customHeight="1">
      <c r="A289" s="91"/>
      <c r="B289" s="166" t="s">
        <v>161</v>
      </c>
      <c r="C289" s="176" t="s">
        <v>162</v>
      </c>
      <c r="D289" s="177" t="s">
        <v>19</v>
      </c>
      <c r="E289" s="128">
        <f>(145+125+9)/1000</f>
        <v>0.27900000000000003</v>
      </c>
      <c r="F289" s="127">
        <f t="shared" si="96"/>
        <v>0.28699999999999998</v>
      </c>
      <c r="G289" s="3"/>
      <c r="H289" s="3">
        <f>F289*G289</f>
        <v>0</v>
      </c>
      <c r="I289" s="3"/>
      <c r="J289" s="3"/>
      <c r="K289" s="3"/>
      <c r="L289" s="3"/>
      <c r="M289" s="92">
        <f t="shared" si="94"/>
        <v>0</v>
      </c>
    </row>
    <row r="290" spans="1:13" s="20" customFormat="1" ht="19.95" customHeight="1">
      <c r="A290" s="91"/>
      <c r="B290" s="206" t="s">
        <v>28</v>
      </c>
      <c r="C290" s="161" t="s">
        <v>29</v>
      </c>
      <c r="D290" s="159" t="s">
        <v>13</v>
      </c>
      <c r="E290" s="127"/>
      <c r="F290" s="124">
        <f>F285</f>
        <v>182.8</v>
      </c>
      <c r="G290" s="3"/>
      <c r="H290" s="3">
        <f t="shared" ref="H290:H291" si="97">G290*F290</f>
        <v>0</v>
      </c>
      <c r="I290" s="3"/>
      <c r="J290" s="3"/>
      <c r="K290" s="3"/>
      <c r="L290" s="3"/>
      <c r="M290" s="92">
        <f t="shared" si="94"/>
        <v>0</v>
      </c>
    </row>
    <row r="291" spans="1:13" s="20" customFormat="1" ht="19.95" customHeight="1">
      <c r="A291" s="91"/>
      <c r="B291" s="179" t="s">
        <v>22</v>
      </c>
      <c r="C291" s="161" t="s">
        <v>23</v>
      </c>
      <c r="D291" s="159" t="s">
        <v>13</v>
      </c>
      <c r="E291" s="124"/>
      <c r="F291" s="124">
        <f>F285</f>
        <v>182.8</v>
      </c>
      <c r="G291" s="3"/>
      <c r="H291" s="3">
        <f t="shared" si="97"/>
        <v>0</v>
      </c>
      <c r="I291" s="3"/>
      <c r="J291" s="3"/>
      <c r="K291" s="3"/>
      <c r="L291" s="3"/>
      <c r="M291" s="92">
        <f t="shared" si="94"/>
        <v>0</v>
      </c>
    </row>
    <row r="292" spans="1:13" s="13" customFormat="1" ht="21.6" customHeight="1">
      <c r="A292" s="61"/>
      <c r="B292" s="200" t="s">
        <v>92</v>
      </c>
      <c r="C292" s="200" t="s">
        <v>93</v>
      </c>
      <c r="D292" s="201"/>
      <c r="E292" s="134"/>
      <c r="F292" s="134"/>
      <c r="G292" s="112"/>
      <c r="H292" s="112"/>
      <c r="I292" s="112"/>
      <c r="J292" s="112"/>
      <c r="K292" s="112"/>
      <c r="L292" s="112"/>
      <c r="M292" s="113"/>
    </row>
    <row r="293" spans="1:13" s="20" customFormat="1" ht="19.95" customHeight="1">
      <c r="A293" s="14"/>
      <c r="B293" s="180" t="s">
        <v>52</v>
      </c>
      <c r="C293" s="181" t="s">
        <v>54</v>
      </c>
      <c r="D293" s="169"/>
      <c r="E293" s="125"/>
      <c r="F293" s="125"/>
      <c r="G293" s="4"/>
      <c r="H293" s="4"/>
      <c r="I293" s="4"/>
      <c r="J293" s="4"/>
      <c r="K293" s="4"/>
      <c r="L293" s="4"/>
      <c r="M293" s="94"/>
    </row>
    <row r="294" spans="1:13" s="20" customFormat="1" ht="48.6" customHeight="1">
      <c r="A294" s="108">
        <v>44</v>
      </c>
      <c r="B294" s="193" t="s">
        <v>188</v>
      </c>
      <c r="C294" s="188" t="s">
        <v>129</v>
      </c>
      <c r="D294" s="184" t="s">
        <v>13</v>
      </c>
      <c r="E294" s="131"/>
      <c r="F294" s="130">
        <f>33+2</f>
        <v>35</v>
      </c>
      <c r="G294" s="6"/>
      <c r="H294" s="6"/>
      <c r="I294" s="6"/>
      <c r="J294" s="6"/>
      <c r="K294" s="6"/>
      <c r="L294" s="6"/>
      <c r="M294" s="109"/>
    </row>
    <row r="295" spans="1:13" s="20" customFormat="1" ht="19.95" customHeight="1">
      <c r="A295" s="108"/>
      <c r="B295" s="186" t="s">
        <v>64</v>
      </c>
      <c r="C295" s="186" t="s">
        <v>67</v>
      </c>
      <c r="D295" s="184" t="s">
        <v>13</v>
      </c>
      <c r="E295" s="132">
        <v>1.0149999999999999</v>
      </c>
      <c r="F295" s="131">
        <f>E295*F294</f>
        <v>35.524999999999999</v>
      </c>
      <c r="G295" s="6"/>
      <c r="H295" s="6">
        <f>G295*F295</f>
        <v>0</v>
      </c>
      <c r="I295" s="6"/>
      <c r="J295" s="6"/>
      <c r="K295" s="6"/>
      <c r="L295" s="6">
        <f>K295*F295</f>
        <v>0</v>
      </c>
      <c r="M295" s="109">
        <f t="shared" ref="M294:M305" si="98">L295+J295+H295</f>
        <v>0</v>
      </c>
    </row>
    <row r="296" spans="1:13" s="20" customFormat="1" ht="19.95" customHeight="1">
      <c r="A296" s="108"/>
      <c r="B296" s="192" t="s">
        <v>154</v>
      </c>
      <c r="C296" s="196" t="s">
        <v>153</v>
      </c>
      <c r="D296" s="197" t="s">
        <v>19</v>
      </c>
      <c r="E296" s="133">
        <f>(2)/1000</f>
        <v>2E-3</v>
      </c>
      <c r="F296" s="132">
        <f t="shared" ref="F296:F298" si="99">ROUND(E296*1.03,3)</f>
        <v>2E-3</v>
      </c>
      <c r="G296" s="6"/>
      <c r="H296" s="6">
        <f t="shared" ref="H296" si="100">G296*F296</f>
        <v>0</v>
      </c>
      <c r="I296" s="6"/>
      <c r="J296" s="6"/>
      <c r="K296" s="6"/>
      <c r="L296" s="6"/>
      <c r="M296" s="109">
        <f t="shared" si="98"/>
        <v>0</v>
      </c>
    </row>
    <row r="297" spans="1:13" s="20" customFormat="1" ht="19.95" customHeight="1">
      <c r="A297" s="108"/>
      <c r="B297" s="192" t="s">
        <v>152</v>
      </c>
      <c r="C297" s="196" t="s">
        <v>151</v>
      </c>
      <c r="D297" s="197" t="s">
        <v>19</v>
      </c>
      <c r="E297" s="133">
        <f>(850+226+10+16+38+47+59+30+46)/1000</f>
        <v>1.3220000000000001</v>
      </c>
      <c r="F297" s="132">
        <f t="shared" si="99"/>
        <v>1.3620000000000001</v>
      </c>
      <c r="G297" s="6"/>
      <c r="H297" s="6">
        <f>F297*G297</f>
        <v>0</v>
      </c>
      <c r="I297" s="6"/>
      <c r="J297" s="6"/>
      <c r="K297" s="6"/>
      <c r="L297" s="6"/>
      <c r="M297" s="109">
        <f t="shared" si="98"/>
        <v>0</v>
      </c>
    </row>
    <row r="298" spans="1:13" s="20" customFormat="1" ht="19.95" customHeight="1">
      <c r="A298" s="108"/>
      <c r="B298" s="192" t="s">
        <v>159</v>
      </c>
      <c r="C298" s="196" t="s">
        <v>160</v>
      </c>
      <c r="D298" s="197" t="s">
        <v>19</v>
      </c>
      <c r="E298" s="133">
        <f>(1881+87+195)/1000</f>
        <v>2.1629999999999998</v>
      </c>
      <c r="F298" s="132">
        <f t="shared" si="99"/>
        <v>2.2280000000000002</v>
      </c>
      <c r="G298" s="6"/>
      <c r="H298" s="6">
        <f>F298*G298</f>
        <v>0</v>
      </c>
      <c r="I298" s="6"/>
      <c r="J298" s="6"/>
      <c r="K298" s="6"/>
      <c r="L298" s="6"/>
      <c r="M298" s="109">
        <f t="shared" si="98"/>
        <v>0</v>
      </c>
    </row>
    <row r="299" spans="1:13" s="20" customFormat="1" ht="21.6" customHeight="1">
      <c r="A299" s="108"/>
      <c r="B299" s="198" t="s">
        <v>24</v>
      </c>
      <c r="C299" s="186" t="s">
        <v>25</v>
      </c>
      <c r="D299" s="184" t="s">
        <v>13</v>
      </c>
      <c r="E299" s="131"/>
      <c r="F299" s="131">
        <f>F294</f>
        <v>35</v>
      </c>
      <c r="G299" s="6"/>
      <c r="H299" s="6">
        <f t="shared" ref="H299:H300" si="101">G299*F299</f>
        <v>0</v>
      </c>
      <c r="I299" s="6"/>
      <c r="J299" s="6"/>
      <c r="K299" s="6"/>
      <c r="L299" s="6"/>
      <c r="M299" s="109">
        <f t="shared" si="98"/>
        <v>0</v>
      </c>
    </row>
    <row r="300" spans="1:13" s="20" customFormat="1" ht="21.6" customHeight="1">
      <c r="A300" s="108"/>
      <c r="B300" s="199" t="s">
        <v>22</v>
      </c>
      <c r="C300" s="186" t="s">
        <v>23</v>
      </c>
      <c r="D300" s="184" t="s">
        <v>13</v>
      </c>
      <c r="E300" s="131"/>
      <c r="F300" s="131">
        <f>F294</f>
        <v>35</v>
      </c>
      <c r="G300" s="6"/>
      <c r="H300" s="6">
        <f t="shared" si="101"/>
        <v>0</v>
      </c>
      <c r="I300" s="6"/>
      <c r="J300" s="6"/>
      <c r="K300" s="6"/>
      <c r="L300" s="6"/>
      <c r="M300" s="109">
        <f t="shared" si="98"/>
        <v>0</v>
      </c>
    </row>
    <row r="301" spans="1:13" s="20" customFormat="1" ht="33" customHeight="1">
      <c r="A301" s="108">
        <v>45</v>
      </c>
      <c r="B301" s="187" t="s">
        <v>189</v>
      </c>
      <c r="C301" s="188" t="s">
        <v>94</v>
      </c>
      <c r="D301" s="184" t="s">
        <v>13</v>
      </c>
      <c r="E301" s="131"/>
      <c r="F301" s="130">
        <f>4.03+1.64+5.28+3.27+2.24+2.45+0.49+0.49+0.49+2.45</f>
        <v>22.829999999999995</v>
      </c>
      <c r="G301" s="6"/>
      <c r="H301" s="6"/>
      <c r="I301" s="6"/>
      <c r="J301" s="6"/>
      <c r="K301" s="6"/>
      <c r="L301" s="6">
        <f>K301*F301</f>
        <v>0</v>
      </c>
      <c r="M301" s="109">
        <f t="shared" si="98"/>
        <v>0</v>
      </c>
    </row>
    <row r="302" spans="1:13" s="20" customFormat="1" ht="19.95" customHeight="1">
      <c r="A302" s="108"/>
      <c r="B302" s="186" t="s">
        <v>64</v>
      </c>
      <c r="C302" s="186" t="s">
        <v>67</v>
      </c>
      <c r="D302" s="184" t="s">
        <v>13</v>
      </c>
      <c r="E302" s="132">
        <v>1.0149999999999999</v>
      </c>
      <c r="F302" s="131">
        <f>E302*F301</f>
        <v>23.172449999999991</v>
      </c>
      <c r="G302" s="6"/>
      <c r="H302" s="6">
        <f>G302*F302</f>
        <v>0</v>
      </c>
      <c r="I302" s="6"/>
      <c r="J302" s="6"/>
      <c r="K302" s="6"/>
      <c r="L302" s="6">
        <f>K302*F302</f>
        <v>0</v>
      </c>
      <c r="M302" s="109">
        <f t="shared" si="98"/>
        <v>0</v>
      </c>
    </row>
    <row r="303" spans="1:13" s="20" customFormat="1" ht="19.95" customHeight="1">
      <c r="A303" s="108"/>
      <c r="B303" s="192" t="s">
        <v>154</v>
      </c>
      <c r="C303" s="196" t="s">
        <v>153</v>
      </c>
      <c r="D303" s="197" t="s">
        <v>19</v>
      </c>
      <c r="E303" s="133">
        <f>948.08/1000</f>
        <v>0.94808000000000003</v>
      </c>
      <c r="F303" s="132">
        <f>ROUND(E303*1.03,3)</f>
        <v>0.97699999999999998</v>
      </c>
      <c r="G303" s="6"/>
      <c r="H303" s="6">
        <f>G303*F303</f>
        <v>0</v>
      </c>
      <c r="I303" s="6"/>
      <c r="J303" s="6"/>
      <c r="K303" s="6"/>
      <c r="L303" s="6"/>
      <c r="M303" s="109">
        <f t="shared" si="98"/>
        <v>0</v>
      </c>
    </row>
    <row r="304" spans="1:13" s="20" customFormat="1" ht="19.95" customHeight="1">
      <c r="A304" s="108"/>
      <c r="B304" s="198" t="s">
        <v>32</v>
      </c>
      <c r="C304" s="186" t="s">
        <v>33</v>
      </c>
      <c r="D304" s="184" t="s">
        <v>13</v>
      </c>
      <c r="E304" s="131"/>
      <c r="F304" s="131">
        <f>F301</f>
        <v>22.829999999999995</v>
      </c>
      <c r="G304" s="6"/>
      <c r="H304" s="6">
        <f>G304*F304</f>
        <v>0</v>
      </c>
      <c r="I304" s="6"/>
      <c r="J304" s="6"/>
      <c r="K304" s="6"/>
      <c r="L304" s="6"/>
      <c r="M304" s="109">
        <f t="shared" si="98"/>
        <v>0</v>
      </c>
    </row>
    <row r="305" spans="1:13" s="20" customFormat="1" ht="21.6" customHeight="1">
      <c r="A305" s="108"/>
      <c r="B305" s="199" t="s">
        <v>22</v>
      </c>
      <c r="C305" s="186" t="s">
        <v>23</v>
      </c>
      <c r="D305" s="184" t="s">
        <v>13</v>
      </c>
      <c r="E305" s="131"/>
      <c r="F305" s="131">
        <f>F301</f>
        <v>22.829999999999995</v>
      </c>
      <c r="G305" s="6"/>
      <c r="H305" s="6">
        <f>G305*F305</f>
        <v>0</v>
      </c>
      <c r="I305" s="6"/>
      <c r="J305" s="6"/>
      <c r="K305" s="6"/>
      <c r="L305" s="6"/>
      <c r="M305" s="109">
        <f t="shared" si="98"/>
        <v>0</v>
      </c>
    </row>
    <row r="306" spans="1:13" s="20" customFormat="1" ht="34.950000000000003" customHeight="1">
      <c r="A306" s="108">
        <v>46</v>
      </c>
      <c r="B306" s="187" t="s">
        <v>214</v>
      </c>
      <c r="C306" s="188" t="s">
        <v>95</v>
      </c>
      <c r="D306" s="184" t="s">
        <v>13</v>
      </c>
      <c r="E306" s="131"/>
      <c r="F306" s="130">
        <v>3.1</v>
      </c>
      <c r="G306" s="6"/>
      <c r="H306" s="6"/>
      <c r="I306" s="6"/>
      <c r="J306" s="6"/>
      <c r="K306" s="6"/>
      <c r="L306" s="6"/>
      <c r="M306" s="109"/>
    </row>
    <row r="307" spans="1:13" s="20" customFormat="1" ht="22.2" customHeight="1">
      <c r="A307" s="108"/>
      <c r="B307" s="204" t="s">
        <v>396</v>
      </c>
      <c r="C307" s="204" t="s">
        <v>35</v>
      </c>
      <c r="D307" s="205" t="s">
        <v>34</v>
      </c>
      <c r="E307" s="131">
        <v>22</v>
      </c>
      <c r="F307" s="130"/>
      <c r="G307" s="6"/>
      <c r="H307" s="6"/>
      <c r="I307" s="6"/>
      <c r="J307" s="6">
        <f>I307*E307</f>
        <v>0</v>
      </c>
      <c r="K307" s="6"/>
      <c r="L307" s="6"/>
      <c r="M307" s="109">
        <f>H307+J307+L307</f>
        <v>0</v>
      </c>
    </row>
    <row r="308" spans="1:13" s="20" customFormat="1" ht="19.95" customHeight="1">
      <c r="A308" s="108"/>
      <c r="B308" s="186" t="s">
        <v>64</v>
      </c>
      <c r="C308" s="186" t="s">
        <v>67</v>
      </c>
      <c r="D308" s="184" t="s">
        <v>13</v>
      </c>
      <c r="E308" s="132">
        <v>1.0149999999999999</v>
      </c>
      <c r="F308" s="131">
        <f>E308*F306</f>
        <v>3.1464999999999996</v>
      </c>
      <c r="G308" s="6"/>
      <c r="H308" s="6">
        <f>G308*F308</f>
        <v>0</v>
      </c>
      <c r="I308" s="6"/>
      <c r="J308" s="6"/>
      <c r="K308" s="6"/>
      <c r="L308" s="6">
        <f>K308*F308</f>
        <v>0</v>
      </c>
      <c r="M308" s="109">
        <f t="shared" ref="M308:M312" si="102">L308+J308+H308</f>
        <v>0</v>
      </c>
    </row>
    <row r="309" spans="1:13" s="20" customFormat="1" ht="19.95" customHeight="1">
      <c r="A309" s="108"/>
      <c r="B309" s="192" t="s">
        <v>152</v>
      </c>
      <c r="C309" s="196" t="s">
        <v>151</v>
      </c>
      <c r="D309" s="197" t="s">
        <v>19</v>
      </c>
      <c r="E309" s="133">
        <f>(62+33+26)/1000</f>
        <v>0.121</v>
      </c>
      <c r="F309" s="132">
        <f t="shared" ref="F309:F310" si="103">ROUND(E309*1.03,3)</f>
        <v>0.125</v>
      </c>
      <c r="G309" s="6"/>
      <c r="H309" s="6">
        <f>G309*F309</f>
        <v>0</v>
      </c>
      <c r="I309" s="6"/>
      <c r="J309" s="6"/>
      <c r="K309" s="6"/>
      <c r="L309" s="6"/>
      <c r="M309" s="109">
        <f t="shared" si="102"/>
        <v>0</v>
      </c>
    </row>
    <row r="310" spans="1:13" s="20" customFormat="1" ht="19.95" customHeight="1">
      <c r="A310" s="108"/>
      <c r="B310" s="192" t="s">
        <v>159</v>
      </c>
      <c r="C310" s="196" t="s">
        <v>160</v>
      </c>
      <c r="D310" s="197" t="s">
        <v>19</v>
      </c>
      <c r="E310" s="133">
        <f>(197/1000)</f>
        <v>0.19700000000000001</v>
      </c>
      <c r="F310" s="132">
        <f t="shared" si="103"/>
        <v>0.20300000000000001</v>
      </c>
      <c r="G310" s="6"/>
      <c r="H310" s="6">
        <f>F310*G310</f>
        <v>0</v>
      </c>
      <c r="I310" s="6"/>
      <c r="J310" s="6"/>
      <c r="K310" s="6"/>
      <c r="L310" s="6"/>
      <c r="M310" s="109">
        <f t="shared" si="102"/>
        <v>0</v>
      </c>
    </row>
    <row r="311" spans="1:13" s="20" customFormat="1" ht="19.95" customHeight="1">
      <c r="A311" s="108"/>
      <c r="B311" s="186" t="s">
        <v>36</v>
      </c>
      <c r="C311" s="186" t="s">
        <v>37</v>
      </c>
      <c r="D311" s="184" t="s">
        <v>13</v>
      </c>
      <c r="E311" s="132"/>
      <c r="F311" s="131">
        <f>F306</f>
        <v>3.1</v>
      </c>
      <c r="G311" s="6"/>
      <c r="H311" s="6">
        <f>G311*F311</f>
        <v>0</v>
      </c>
      <c r="I311" s="6"/>
      <c r="J311" s="6"/>
      <c r="K311" s="6"/>
      <c r="L311" s="6"/>
      <c r="M311" s="109">
        <f t="shared" si="102"/>
        <v>0</v>
      </c>
    </row>
    <row r="312" spans="1:13" s="20" customFormat="1" ht="19.95" customHeight="1">
      <c r="A312" s="108"/>
      <c r="B312" s="199" t="s">
        <v>22</v>
      </c>
      <c r="C312" s="186" t="s">
        <v>23</v>
      </c>
      <c r="D312" s="184" t="s">
        <v>13</v>
      </c>
      <c r="E312" s="131"/>
      <c r="F312" s="131">
        <f>F306</f>
        <v>3.1</v>
      </c>
      <c r="G312" s="6"/>
      <c r="H312" s="6">
        <f>G312*F312</f>
        <v>0</v>
      </c>
      <c r="I312" s="6"/>
      <c r="J312" s="6"/>
      <c r="K312" s="6"/>
      <c r="L312" s="6"/>
      <c r="M312" s="109">
        <f t="shared" si="102"/>
        <v>0</v>
      </c>
    </row>
    <row r="313" spans="1:13" s="20" customFormat="1" ht="49.95" customHeight="1">
      <c r="A313" s="108">
        <v>47</v>
      </c>
      <c r="B313" s="193" t="s">
        <v>190</v>
      </c>
      <c r="C313" s="188" t="s">
        <v>96</v>
      </c>
      <c r="D313" s="184" t="s">
        <v>13</v>
      </c>
      <c r="E313" s="131"/>
      <c r="F313" s="130">
        <f>1.55+14.54</f>
        <v>16.09</v>
      </c>
      <c r="G313" s="6"/>
      <c r="H313" s="6"/>
      <c r="I313" s="6"/>
      <c r="J313" s="6"/>
      <c r="K313" s="6"/>
      <c r="L313" s="6"/>
      <c r="M313" s="109"/>
    </row>
    <row r="314" spans="1:13" s="20" customFormat="1" ht="19.95" customHeight="1">
      <c r="A314" s="108"/>
      <c r="B314" s="186" t="s">
        <v>64</v>
      </c>
      <c r="C314" s="186" t="s">
        <v>67</v>
      </c>
      <c r="D314" s="184" t="s">
        <v>13</v>
      </c>
      <c r="E314" s="132">
        <v>1.0149999999999999</v>
      </c>
      <c r="F314" s="131">
        <f>E314*F313</f>
        <v>16.331349999999997</v>
      </c>
      <c r="G314" s="6"/>
      <c r="H314" s="6">
        <f>G314*F314</f>
        <v>0</v>
      </c>
      <c r="I314" s="6"/>
      <c r="J314" s="6"/>
      <c r="K314" s="6"/>
      <c r="L314" s="6">
        <f>K314*F314</f>
        <v>0</v>
      </c>
      <c r="M314" s="109">
        <f t="shared" ref="M314:M319" si="104">L314+J314+H314</f>
        <v>0</v>
      </c>
    </row>
    <row r="315" spans="1:13" s="20" customFormat="1" ht="19.2" customHeight="1">
      <c r="A315" s="108"/>
      <c r="B315" s="192" t="s">
        <v>154</v>
      </c>
      <c r="C315" s="196" t="s">
        <v>153</v>
      </c>
      <c r="D315" s="197" t="s">
        <v>19</v>
      </c>
      <c r="E315" s="133">
        <f>(54+679)/1000</f>
        <v>0.73299999999999998</v>
      </c>
      <c r="F315" s="132">
        <f t="shared" ref="F315:F317" si="105">ROUND(E315*1.03,3)</f>
        <v>0.755</v>
      </c>
      <c r="G315" s="6"/>
      <c r="H315" s="6">
        <f>F315*G315</f>
        <v>0</v>
      </c>
      <c r="I315" s="6"/>
      <c r="J315" s="6"/>
      <c r="K315" s="6"/>
      <c r="L315" s="6"/>
      <c r="M315" s="109">
        <f t="shared" si="104"/>
        <v>0</v>
      </c>
    </row>
    <row r="316" spans="1:13" s="20" customFormat="1" ht="19.95" customHeight="1">
      <c r="A316" s="108"/>
      <c r="B316" s="186" t="s">
        <v>157</v>
      </c>
      <c r="C316" s="186" t="s">
        <v>158</v>
      </c>
      <c r="D316" s="197" t="s">
        <v>19</v>
      </c>
      <c r="E316" s="133">
        <f>(730+132)/1000</f>
        <v>0.86199999999999999</v>
      </c>
      <c r="F316" s="132">
        <f t="shared" si="105"/>
        <v>0.88800000000000001</v>
      </c>
      <c r="G316" s="6"/>
      <c r="H316" s="6">
        <f>F316*G316</f>
        <v>0</v>
      </c>
      <c r="I316" s="6"/>
      <c r="J316" s="6"/>
      <c r="K316" s="6"/>
      <c r="L316" s="6"/>
      <c r="M316" s="109">
        <f t="shared" si="104"/>
        <v>0</v>
      </c>
    </row>
    <row r="317" spans="1:13" s="20" customFormat="1" ht="19.95" customHeight="1">
      <c r="A317" s="108"/>
      <c r="B317" s="196" t="s">
        <v>155</v>
      </c>
      <c r="C317" s="196" t="s">
        <v>156</v>
      </c>
      <c r="D317" s="197" t="s">
        <v>19</v>
      </c>
      <c r="E317" s="133">
        <f>(1137+206)/1000</f>
        <v>1.343</v>
      </c>
      <c r="F317" s="132">
        <f t="shared" si="105"/>
        <v>1.383</v>
      </c>
      <c r="G317" s="6"/>
      <c r="H317" s="6">
        <f>F317*G317</f>
        <v>0</v>
      </c>
      <c r="I317" s="6"/>
      <c r="J317" s="6"/>
      <c r="K317" s="6"/>
      <c r="L317" s="6"/>
      <c r="M317" s="109">
        <f t="shared" si="104"/>
        <v>0</v>
      </c>
    </row>
    <row r="318" spans="1:13" s="20" customFormat="1" ht="20.399999999999999" customHeight="1">
      <c r="A318" s="108"/>
      <c r="B318" s="186" t="s">
        <v>30</v>
      </c>
      <c r="C318" s="186" t="s">
        <v>31</v>
      </c>
      <c r="D318" s="184" t="s">
        <v>13</v>
      </c>
      <c r="E318" s="132"/>
      <c r="F318" s="132">
        <f>F313</f>
        <v>16.09</v>
      </c>
      <c r="G318" s="6"/>
      <c r="H318" s="6">
        <f>G318*F318</f>
        <v>0</v>
      </c>
      <c r="I318" s="6"/>
      <c r="J318" s="6"/>
      <c r="K318" s="6"/>
      <c r="L318" s="6"/>
      <c r="M318" s="109">
        <f t="shared" si="104"/>
        <v>0</v>
      </c>
    </row>
    <row r="319" spans="1:13" s="20" customFormat="1" ht="19.95" customHeight="1">
      <c r="A319" s="108"/>
      <c r="B319" s="199" t="s">
        <v>22</v>
      </c>
      <c r="C319" s="186" t="s">
        <v>23</v>
      </c>
      <c r="D319" s="184" t="s">
        <v>13</v>
      </c>
      <c r="E319" s="131"/>
      <c r="F319" s="131">
        <f>F313</f>
        <v>16.09</v>
      </c>
      <c r="G319" s="6"/>
      <c r="H319" s="6">
        <f>G319*F319</f>
        <v>0</v>
      </c>
      <c r="I319" s="6"/>
      <c r="J319" s="6"/>
      <c r="K319" s="6"/>
      <c r="L319" s="6"/>
      <c r="M319" s="109">
        <f t="shared" si="104"/>
        <v>0</v>
      </c>
    </row>
    <row r="320" spans="1:13" s="20" customFormat="1" ht="49.2" customHeight="1">
      <c r="A320" s="108">
        <v>48</v>
      </c>
      <c r="B320" s="187" t="s">
        <v>191</v>
      </c>
      <c r="C320" s="188" t="s">
        <v>97</v>
      </c>
      <c r="D320" s="184" t="s">
        <v>13</v>
      </c>
      <c r="E320" s="131"/>
      <c r="F320" s="130">
        <v>182.8</v>
      </c>
      <c r="G320" s="6"/>
      <c r="H320" s="6"/>
      <c r="I320" s="6"/>
      <c r="J320" s="6"/>
      <c r="K320" s="6"/>
      <c r="L320" s="6"/>
      <c r="M320" s="109"/>
    </row>
    <row r="321" spans="1:13" s="20" customFormat="1" ht="22.95" customHeight="1">
      <c r="A321" s="108"/>
      <c r="B321" s="199" t="s">
        <v>26</v>
      </c>
      <c r="C321" s="204" t="s">
        <v>27</v>
      </c>
      <c r="D321" s="195" t="s">
        <v>16</v>
      </c>
      <c r="E321" s="131">
        <f>F320/0.22</f>
        <v>830.90909090909099</v>
      </c>
      <c r="F321" s="130"/>
      <c r="G321" s="6"/>
      <c r="H321" s="6"/>
      <c r="I321" s="6"/>
      <c r="J321" s="6">
        <f>I321*E321</f>
        <v>0</v>
      </c>
      <c r="K321" s="6"/>
      <c r="L321" s="6"/>
      <c r="M321" s="109">
        <f t="shared" ref="M321:M326" si="106">L321+J321+H321</f>
        <v>0</v>
      </c>
    </row>
    <row r="322" spans="1:13" s="20" customFormat="1" ht="20.399999999999999" customHeight="1">
      <c r="A322" s="108"/>
      <c r="B322" s="186" t="s">
        <v>64</v>
      </c>
      <c r="C322" s="186" t="s">
        <v>67</v>
      </c>
      <c r="D322" s="184" t="s">
        <v>13</v>
      </c>
      <c r="E322" s="132">
        <v>1.0149999999999999</v>
      </c>
      <c r="F322" s="131">
        <f>E322*F320</f>
        <v>185.542</v>
      </c>
      <c r="G322" s="6"/>
      <c r="H322" s="6">
        <f>G322*F322</f>
        <v>0</v>
      </c>
      <c r="I322" s="6"/>
      <c r="J322" s="6"/>
      <c r="K322" s="6"/>
      <c r="L322" s="6">
        <f>K322*F322</f>
        <v>0</v>
      </c>
      <c r="M322" s="109">
        <f t="shared" si="106"/>
        <v>0</v>
      </c>
    </row>
    <row r="323" spans="1:13" s="20" customFormat="1" ht="19.95" customHeight="1">
      <c r="A323" s="108"/>
      <c r="B323" s="192" t="s">
        <v>159</v>
      </c>
      <c r="C323" s="196" t="s">
        <v>160</v>
      </c>
      <c r="D323" s="197" t="s">
        <v>19</v>
      </c>
      <c r="E323" s="133">
        <f>(17032+2580+122+507+663+485+55+1348+1185)/1000</f>
        <v>23.977</v>
      </c>
      <c r="F323" s="132">
        <f t="shared" ref="F323:F324" si="107">ROUND(E323*1.03,3)</f>
        <v>24.696000000000002</v>
      </c>
      <c r="G323" s="6"/>
      <c r="H323" s="6">
        <f>F323*G323</f>
        <v>0</v>
      </c>
      <c r="I323" s="6"/>
      <c r="J323" s="6"/>
      <c r="K323" s="6"/>
      <c r="L323" s="6"/>
      <c r="M323" s="109">
        <f t="shared" si="106"/>
        <v>0</v>
      </c>
    </row>
    <row r="324" spans="1:13" s="20" customFormat="1" ht="19.95" customHeight="1">
      <c r="A324" s="108"/>
      <c r="B324" s="192" t="s">
        <v>161</v>
      </c>
      <c r="C324" s="196" t="s">
        <v>162</v>
      </c>
      <c r="D324" s="197" t="s">
        <v>19</v>
      </c>
      <c r="E324" s="133">
        <f>(145+125+9)/1000</f>
        <v>0.27900000000000003</v>
      </c>
      <c r="F324" s="132">
        <f t="shared" si="107"/>
        <v>0.28699999999999998</v>
      </c>
      <c r="G324" s="6"/>
      <c r="H324" s="6">
        <f>F324*G324</f>
        <v>0</v>
      </c>
      <c r="I324" s="6"/>
      <c r="J324" s="6"/>
      <c r="K324" s="6"/>
      <c r="L324" s="6"/>
      <c r="M324" s="109">
        <f t="shared" si="106"/>
        <v>0</v>
      </c>
    </row>
    <row r="325" spans="1:13" s="20" customFormat="1" ht="19.95" customHeight="1">
      <c r="A325" s="108"/>
      <c r="B325" s="207" t="s">
        <v>28</v>
      </c>
      <c r="C325" s="186" t="s">
        <v>29</v>
      </c>
      <c r="D325" s="184" t="s">
        <v>13</v>
      </c>
      <c r="E325" s="132"/>
      <c r="F325" s="131">
        <f>F320</f>
        <v>182.8</v>
      </c>
      <c r="G325" s="6"/>
      <c r="H325" s="6">
        <f t="shared" ref="H325:H326" si="108">G325*F325</f>
        <v>0</v>
      </c>
      <c r="I325" s="6"/>
      <c r="J325" s="6"/>
      <c r="K325" s="6"/>
      <c r="L325" s="6"/>
      <c r="M325" s="109">
        <f t="shared" si="106"/>
        <v>0</v>
      </c>
    </row>
    <row r="326" spans="1:13" s="20" customFormat="1" ht="19.95" customHeight="1">
      <c r="A326" s="108"/>
      <c r="B326" s="199" t="s">
        <v>22</v>
      </c>
      <c r="C326" s="186" t="s">
        <v>23</v>
      </c>
      <c r="D326" s="184" t="s">
        <v>13</v>
      </c>
      <c r="E326" s="131"/>
      <c r="F326" s="131">
        <f>F320</f>
        <v>182.8</v>
      </c>
      <c r="G326" s="6"/>
      <c r="H326" s="6">
        <f t="shared" si="108"/>
        <v>0</v>
      </c>
      <c r="I326" s="6"/>
      <c r="J326" s="6"/>
      <c r="K326" s="6"/>
      <c r="L326" s="6"/>
      <c r="M326" s="109">
        <f t="shared" si="106"/>
        <v>0</v>
      </c>
    </row>
    <row r="327" spans="1:13" s="20" customFormat="1" ht="19.95" customHeight="1">
      <c r="A327" s="14"/>
      <c r="B327" s="180" t="s">
        <v>51</v>
      </c>
      <c r="C327" s="181" t="s">
        <v>53</v>
      </c>
      <c r="D327" s="169"/>
      <c r="E327" s="125"/>
      <c r="F327" s="125"/>
      <c r="G327" s="4"/>
      <c r="H327" s="4"/>
      <c r="I327" s="4"/>
      <c r="J327" s="4"/>
      <c r="K327" s="4"/>
      <c r="L327" s="4"/>
      <c r="M327" s="94"/>
    </row>
    <row r="328" spans="1:13" s="20" customFormat="1" ht="48.6" customHeight="1">
      <c r="A328" s="91">
        <v>49</v>
      </c>
      <c r="B328" s="172" t="s">
        <v>188</v>
      </c>
      <c r="C328" s="163" t="s">
        <v>129</v>
      </c>
      <c r="D328" s="159" t="s">
        <v>13</v>
      </c>
      <c r="E328" s="124"/>
      <c r="F328" s="123">
        <v>37</v>
      </c>
      <c r="G328" s="3"/>
      <c r="H328" s="3"/>
      <c r="I328" s="3"/>
      <c r="J328" s="3"/>
      <c r="K328" s="3"/>
      <c r="L328" s="3"/>
      <c r="M328" s="92"/>
    </row>
    <row r="329" spans="1:13" s="20" customFormat="1" ht="19.95" customHeight="1">
      <c r="A329" s="91"/>
      <c r="B329" s="175" t="s">
        <v>64</v>
      </c>
      <c r="C329" s="161" t="s">
        <v>67</v>
      </c>
      <c r="D329" s="159" t="s">
        <v>13</v>
      </c>
      <c r="E329" s="127">
        <v>1.0149999999999999</v>
      </c>
      <c r="F329" s="124">
        <f>E329*F328</f>
        <v>37.555</v>
      </c>
      <c r="G329" s="3"/>
      <c r="H329" s="3">
        <f>G329*F329</f>
        <v>0</v>
      </c>
      <c r="I329" s="3"/>
      <c r="J329" s="3"/>
      <c r="K329" s="3"/>
      <c r="L329" s="3">
        <f>K329*F329</f>
        <v>0</v>
      </c>
      <c r="M329" s="92">
        <f t="shared" ref="M328:M333" si="109">L329+J329+H329</f>
        <v>0</v>
      </c>
    </row>
    <row r="330" spans="1:13" s="20" customFormat="1" ht="19.95" customHeight="1">
      <c r="A330" s="91"/>
      <c r="B330" s="166" t="s">
        <v>152</v>
      </c>
      <c r="C330" s="176" t="s">
        <v>151</v>
      </c>
      <c r="D330" s="177" t="s">
        <v>19</v>
      </c>
      <c r="E330" s="128">
        <f>(850+226+10+16+38+47)/1000</f>
        <v>1.1870000000000001</v>
      </c>
      <c r="F330" s="127">
        <f t="shared" ref="F330:F331" si="110">ROUND(E330*1.03,3)</f>
        <v>1.2230000000000001</v>
      </c>
      <c r="G330" s="3"/>
      <c r="H330" s="3">
        <f>F330*G330</f>
        <v>0</v>
      </c>
      <c r="I330" s="3"/>
      <c r="J330" s="3"/>
      <c r="K330" s="3"/>
      <c r="L330" s="3"/>
      <c r="M330" s="92">
        <f t="shared" si="109"/>
        <v>0</v>
      </c>
    </row>
    <row r="331" spans="1:13" s="20" customFormat="1" ht="19.95" customHeight="1">
      <c r="A331" s="91"/>
      <c r="B331" s="166" t="s">
        <v>159</v>
      </c>
      <c r="C331" s="176" t="s">
        <v>160</v>
      </c>
      <c r="D331" s="177" t="s">
        <v>19</v>
      </c>
      <c r="E331" s="128">
        <f>(1997+58)/1000</f>
        <v>2.0550000000000002</v>
      </c>
      <c r="F331" s="127">
        <f t="shared" si="110"/>
        <v>2.117</v>
      </c>
      <c r="G331" s="3"/>
      <c r="H331" s="3">
        <f>F331*G331</f>
        <v>0</v>
      </c>
      <c r="I331" s="3"/>
      <c r="J331" s="3"/>
      <c r="K331" s="3"/>
      <c r="L331" s="3"/>
      <c r="M331" s="92">
        <f t="shared" si="109"/>
        <v>0</v>
      </c>
    </row>
    <row r="332" spans="1:13" s="20" customFormat="1" ht="21.6" customHeight="1">
      <c r="A332" s="91"/>
      <c r="B332" s="178" t="s">
        <v>24</v>
      </c>
      <c r="C332" s="161" t="s">
        <v>25</v>
      </c>
      <c r="D332" s="159" t="s">
        <v>13</v>
      </c>
      <c r="E332" s="124"/>
      <c r="F332" s="124">
        <f>F328</f>
        <v>37</v>
      </c>
      <c r="G332" s="3"/>
      <c r="H332" s="3">
        <f t="shared" ref="H332:H333" si="111">G332*F332</f>
        <v>0</v>
      </c>
      <c r="I332" s="3"/>
      <c r="J332" s="3"/>
      <c r="K332" s="3"/>
      <c r="L332" s="3"/>
      <c r="M332" s="92">
        <f t="shared" si="109"/>
        <v>0</v>
      </c>
    </row>
    <row r="333" spans="1:13" s="20" customFormat="1" ht="21.6" customHeight="1">
      <c r="A333" s="91"/>
      <c r="B333" s="179" t="s">
        <v>22</v>
      </c>
      <c r="C333" s="161" t="s">
        <v>23</v>
      </c>
      <c r="D333" s="159" t="s">
        <v>13</v>
      </c>
      <c r="E333" s="124"/>
      <c r="F333" s="124">
        <f>F328</f>
        <v>37</v>
      </c>
      <c r="G333" s="3"/>
      <c r="H333" s="3">
        <f t="shared" si="111"/>
        <v>0</v>
      </c>
      <c r="I333" s="3"/>
      <c r="J333" s="3"/>
      <c r="K333" s="3"/>
      <c r="L333" s="3"/>
      <c r="M333" s="92">
        <f t="shared" si="109"/>
        <v>0</v>
      </c>
    </row>
    <row r="334" spans="1:13" s="20" customFormat="1" ht="33" customHeight="1">
      <c r="A334" s="91">
        <v>50</v>
      </c>
      <c r="B334" s="162" t="s">
        <v>189</v>
      </c>
      <c r="C334" s="163" t="s">
        <v>94</v>
      </c>
      <c r="D334" s="159" t="s">
        <v>13</v>
      </c>
      <c r="E334" s="124"/>
      <c r="F334" s="123">
        <f>5.66+0.94+0.57+0.57+6.23+2.67</f>
        <v>16.64</v>
      </c>
      <c r="G334" s="3"/>
      <c r="H334" s="3"/>
      <c r="I334" s="3"/>
      <c r="J334" s="3"/>
      <c r="K334" s="3"/>
      <c r="L334" s="3"/>
      <c r="M334" s="92"/>
    </row>
    <row r="335" spans="1:13" s="20" customFormat="1" ht="19.95" customHeight="1">
      <c r="A335" s="91"/>
      <c r="B335" s="175" t="s">
        <v>64</v>
      </c>
      <c r="C335" s="161" t="s">
        <v>67</v>
      </c>
      <c r="D335" s="159" t="s">
        <v>13</v>
      </c>
      <c r="E335" s="127">
        <v>1.0149999999999999</v>
      </c>
      <c r="F335" s="124">
        <f>E335*F334</f>
        <v>16.889599999999998</v>
      </c>
      <c r="G335" s="3"/>
      <c r="H335" s="3">
        <f>G335*F335</f>
        <v>0</v>
      </c>
      <c r="I335" s="3"/>
      <c r="J335" s="3"/>
      <c r="K335" s="3"/>
      <c r="L335" s="3">
        <f>K335*F335</f>
        <v>0</v>
      </c>
      <c r="M335" s="92">
        <f t="shared" ref="M335:M340" si="112">L335+J335+H335</f>
        <v>0</v>
      </c>
    </row>
    <row r="336" spans="1:13" s="20" customFormat="1" ht="19.95" customHeight="1">
      <c r="A336" s="91"/>
      <c r="B336" s="166" t="s">
        <v>154</v>
      </c>
      <c r="C336" s="176" t="s">
        <v>153</v>
      </c>
      <c r="D336" s="177" t="s">
        <v>19</v>
      </c>
      <c r="E336" s="128">
        <f>(142+106+22+17+18+5+19+5+192+143+65+48)/1000</f>
        <v>0.78200000000000003</v>
      </c>
      <c r="F336" s="127">
        <f t="shared" ref="F336:F338" si="113">ROUND(E336*1.03,3)</f>
        <v>0.80500000000000005</v>
      </c>
      <c r="G336" s="3"/>
      <c r="H336" s="3">
        <f>G336*F336</f>
        <v>0</v>
      </c>
      <c r="I336" s="3"/>
      <c r="J336" s="3"/>
      <c r="K336" s="3"/>
      <c r="L336" s="3"/>
      <c r="M336" s="92">
        <f t="shared" si="112"/>
        <v>0</v>
      </c>
    </row>
    <row r="337" spans="1:13" s="20" customFormat="1" ht="19.95" customHeight="1">
      <c r="A337" s="91"/>
      <c r="B337" s="166" t="s">
        <v>161</v>
      </c>
      <c r="C337" s="176" t="s">
        <v>162</v>
      </c>
      <c r="D337" s="177" t="s">
        <v>19</v>
      </c>
      <c r="E337" s="128">
        <f>(170+151+28+25+14+25+14+25+85+76)/1000</f>
        <v>0.61299999999999999</v>
      </c>
      <c r="F337" s="127">
        <f t="shared" si="113"/>
        <v>0.63100000000000001</v>
      </c>
      <c r="G337" s="3"/>
      <c r="H337" s="3">
        <f>F337*G337</f>
        <v>0</v>
      </c>
      <c r="I337" s="3"/>
      <c r="J337" s="3"/>
      <c r="K337" s="3"/>
      <c r="L337" s="3"/>
      <c r="M337" s="92">
        <f t="shared" si="112"/>
        <v>0</v>
      </c>
    </row>
    <row r="338" spans="1:13" s="20" customFormat="1" ht="19.95" customHeight="1">
      <c r="A338" s="91"/>
      <c r="B338" s="176" t="s">
        <v>155</v>
      </c>
      <c r="C338" s="176" t="s">
        <v>156</v>
      </c>
      <c r="D338" s="177" t="s">
        <v>19</v>
      </c>
      <c r="E338" s="128">
        <f>(292+355)/1000</f>
        <v>0.64700000000000002</v>
      </c>
      <c r="F338" s="127">
        <f t="shared" si="113"/>
        <v>0.66600000000000004</v>
      </c>
      <c r="G338" s="3"/>
      <c r="H338" s="3">
        <f>F338*G338</f>
        <v>0</v>
      </c>
      <c r="I338" s="3"/>
      <c r="J338" s="3"/>
      <c r="K338" s="3"/>
      <c r="L338" s="3"/>
      <c r="M338" s="92">
        <f t="shared" si="112"/>
        <v>0</v>
      </c>
    </row>
    <row r="339" spans="1:13" s="20" customFormat="1" ht="19.95" customHeight="1">
      <c r="A339" s="91"/>
      <c r="B339" s="178" t="s">
        <v>32</v>
      </c>
      <c r="C339" s="161" t="s">
        <v>33</v>
      </c>
      <c r="D339" s="159" t="s">
        <v>13</v>
      </c>
      <c r="E339" s="124"/>
      <c r="F339" s="124">
        <f>F334</f>
        <v>16.64</v>
      </c>
      <c r="G339" s="3"/>
      <c r="H339" s="3">
        <f>G339*F339</f>
        <v>0</v>
      </c>
      <c r="I339" s="3"/>
      <c r="J339" s="3"/>
      <c r="K339" s="3"/>
      <c r="L339" s="3"/>
      <c r="M339" s="92">
        <f t="shared" si="112"/>
        <v>0</v>
      </c>
    </row>
    <row r="340" spans="1:13" s="20" customFormat="1" ht="21.6" customHeight="1">
      <c r="A340" s="91"/>
      <c r="B340" s="179" t="s">
        <v>22</v>
      </c>
      <c r="C340" s="161" t="s">
        <v>23</v>
      </c>
      <c r="D340" s="159" t="s">
        <v>13</v>
      </c>
      <c r="E340" s="124"/>
      <c r="F340" s="124">
        <f>F334</f>
        <v>16.64</v>
      </c>
      <c r="G340" s="3"/>
      <c r="H340" s="3">
        <f>G340*F340</f>
        <v>0</v>
      </c>
      <c r="I340" s="3"/>
      <c r="J340" s="3"/>
      <c r="K340" s="3"/>
      <c r="L340" s="3"/>
      <c r="M340" s="92">
        <f t="shared" si="112"/>
        <v>0</v>
      </c>
    </row>
    <row r="341" spans="1:13" s="20" customFormat="1" ht="34.950000000000003" customHeight="1">
      <c r="A341" s="91">
        <v>51</v>
      </c>
      <c r="B341" s="162" t="s">
        <v>214</v>
      </c>
      <c r="C341" s="163" t="s">
        <v>95</v>
      </c>
      <c r="D341" s="159" t="s">
        <v>13</v>
      </c>
      <c r="E341" s="124"/>
      <c r="F341" s="123">
        <v>3.4</v>
      </c>
      <c r="G341" s="3"/>
      <c r="H341" s="3"/>
      <c r="I341" s="3"/>
      <c r="J341" s="3"/>
      <c r="K341" s="3"/>
      <c r="L341" s="3"/>
      <c r="M341" s="92"/>
    </row>
    <row r="342" spans="1:13" s="20" customFormat="1" ht="22.2" customHeight="1">
      <c r="A342" s="91"/>
      <c r="B342" s="202" t="s">
        <v>396</v>
      </c>
      <c r="C342" s="202" t="s">
        <v>35</v>
      </c>
      <c r="D342" s="203" t="s">
        <v>34</v>
      </c>
      <c r="E342" s="124">
        <v>24</v>
      </c>
      <c r="F342" s="123"/>
      <c r="G342" s="3"/>
      <c r="H342" s="3"/>
      <c r="I342" s="3"/>
      <c r="J342" s="3">
        <f>I342*E342</f>
        <v>0</v>
      </c>
      <c r="K342" s="3"/>
      <c r="L342" s="3"/>
      <c r="M342" s="92">
        <f>H342+J342+L342</f>
        <v>0</v>
      </c>
    </row>
    <row r="343" spans="1:13" s="20" customFormat="1" ht="19.95" customHeight="1">
      <c r="A343" s="91"/>
      <c r="B343" s="175" t="s">
        <v>64</v>
      </c>
      <c r="C343" s="161" t="s">
        <v>67</v>
      </c>
      <c r="D343" s="159" t="s">
        <v>13</v>
      </c>
      <c r="E343" s="127">
        <v>1.0149999999999999</v>
      </c>
      <c r="F343" s="124">
        <f>E343*F341</f>
        <v>3.4509999999999996</v>
      </c>
      <c r="G343" s="3"/>
      <c r="H343" s="3">
        <f>G343*F343</f>
        <v>0</v>
      </c>
      <c r="I343" s="3"/>
      <c r="J343" s="3"/>
      <c r="K343" s="3"/>
      <c r="L343" s="3">
        <f>K343*F343</f>
        <v>0</v>
      </c>
      <c r="M343" s="92">
        <f t="shared" ref="M343:M347" si="114">L343+J343+H343</f>
        <v>0</v>
      </c>
    </row>
    <row r="344" spans="1:13" s="20" customFormat="1" ht="19.95" customHeight="1">
      <c r="A344" s="91"/>
      <c r="B344" s="166" t="s">
        <v>152</v>
      </c>
      <c r="C344" s="176" t="s">
        <v>151</v>
      </c>
      <c r="D344" s="177" t="s">
        <v>19</v>
      </c>
      <c r="E344" s="128">
        <f>(64+34+26)/1000</f>
        <v>0.124</v>
      </c>
      <c r="F344" s="127">
        <f t="shared" ref="F344:F345" si="115">ROUND(E344*1.03,3)</f>
        <v>0.128</v>
      </c>
      <c r="G344" s="3"/>
      <c r="H344" s="3">
        <f>G344*F344</f>
        <v>0</v>
      </c>
      <c r="I344" s="3"/>
      <c r="J344" s="3"/>
      <c r="K344" s="3"/>
      <c r="L344" s="3"/>
      <c r="M344" s="92">
        <f t="shared" si="114"/>
        <v>0</v>
      </c>
    </row>
    <row r="345" spans="1:13" s="20" customFormat="1" ht="19.95" customHeight="1">
      <c r="A345" s="91"/>
      <c r="B345" s="166" t="s">
        <v>159</v>
      </c>
      <c r="C345" s="176" t="s">
        <v>160</v>
      </c>
      <c r="D345" s="177" t="s">
        <v>19</v>
      </c>
      <c r="E345" s="128">
        <f>(202/1000)</f>
        <v>0.20200000000000001</v>
      </c>
      <c r="F345" s="127">
        <f t="shared" si="115"/>
        <v>0.20799999999999999</v>
      </c>
      <c r="G345" s="3"/>
      <c r="H345" s="3">
        <f>F345*G345</f>
        <v>0</v>
      </c>
      <c r="I345" s="3"/>
      <c r="J345" s="3"/>
      <c r="K345" s="3"/>
      <c r="L345" s="3"/>
      <c r="M345" s="92">
        <f t="shared" si="114"/>
        <v>0</v>
      </c>
    </row>
    <row r="346" spans="1:13" s="20" customFormat="1" ht="19.95" customHeight="1">
      <c r="A346" s="91"/>
      <c r="B346" s="161" t="s">
        <v>36</v>
      </c>
      <c r="C346" s="161" t="s">
        <v>37</v>
      </c>
      <c r="D346" s="159" t="s">
        <v>13</v>
      </c>
      <c r="E346" s="127"/>
      <c r="F346" s="124">
        <f>F341</f>
        <v>3.4</v>
      </c>
      <c r="G346" s="3"/>
      <c r="H346" s="3">
        <f>G346*F346</f>
        <v>0</v>
      </c>
      <c r="I346" s="3"/>
      <c r="J346" s="3"/>
      <c r="K346" s="3"/>
      <c r="L346" s="3"/>
      <c r="M346" s="92">
        <f t="shared" si="114"/>
        <v>0</v>
      </c>
    </row>
    <row r="347" spans="1:13" s="20" customFormat="1" ht="19.95" customHeight="1">
      <c r="A347" s="91"/>
      <c r="B347" s="179" t="s">
        <v>22</v>
      </c>
      <c r="C347" s="161" t="s">
        <v>23</v>
      </c>
      <c r="D347" s="159" t="s">
        <v>13</v>
      </c>
      <c r="E347" s="124"/>
      <c r="F347" s="124">
        <f>F341</f>
        <v>3.4</v>
      </c>
      <c r="G347" s="3"/>
      <c r="H347" s="3">
        <f>G347*F347</f>
        <v>0</v>
      </c>
      <c r="I347" s="3"/>
      <c r="J347" s="3"/>
      <c r="K347" s="3"/>
      <c r="L347" s="3"/>
      <c r="M347" s="92">
        <f t="shared" si="114"/>
        <v>0</v>
      </c>
    </row>
    <row r="348" spans="1:13" s="20" customFormat="1" ht="49.95" customHeight="1">
      <c r="A348" s="91">
        <v>52</v>
      </c>
      <c r="B348" s="172" t="s">
        <v>190</v>
      </c>
      <c r="C348" s="163" t="s">
        <v>96</v>
      </c>
      <c r="D348" s="159" t="s">
        <v>13</v>
      </c>
      <c r="E348" s="124"/>
      <c r="F348" s="123">
        <f>12.63+1.12</f>
        <v>13.75</v>
      </c>
      <c r="G348" s="3"/>
      <c r="H348" s="3"/>
      <c r="I348" s="3"/>
      <c r="J348" s="3"/>
      <c r="K348" s="3"/>
      <c r="L348" s="3"/>
      <c r="M348" s="92"/>
    </row>
    <row r="349" spans="1:13" s="20" customFormat="1" ht="19.95" customHeight="1">
      <c r="A349" s="91"/>
      <c r="B349" s="175" t="s">
        <v>64</v>
      </c>
      <c r="C349" s="161" t="s">
        <v>67</v>
      </c>
      <c r="D349" s="159" t="s">
        <v>13</v>
      </c>
      <c r="E349" s="127">
        <v>1.0149999999999999</v>
      </c>
      <c r="F349" s="124">
        <f>E349*F348</f>
        <v>13.956249999999999</v>
      </c>
      <c r="G349" s="3"/>
      <c r="H349" s="3">
        <f>G349*F349</f>
        <v>0</v>
      </c>
      <c r="I349" s="3"/>
      <c r="J349" s="3"/>
      <c r="K349" s="3"/>
      <c r="L349" s="3">
        <f>K349*F349</f>
        <v>0</v>
      </c>
      <c r="M349" s="92">
        <f t="shared" ref="M349:M363" si="116">L349+J349+H349</f>
        <v>0</v>
      </c>
    </row>
    <row r="350" spans="1:13" s="20" customFormat="1" ht="19.2" customHeight="1">
      <c r="A350" s="91"/>
      <c r="B350" s="166" t="s">
        <v>154</v>
      </c>
      <c r="C350" s="176" t="s">
        <v>153</v>
      </c>
      <c r="D350" s="177" t="s">
        <v>19</v>
      </c>
      <c r="E350" s="128">
        <f>(686+53)/1000</f>
        <v>0.73899999999999999</v>
      </c>
      <c r="F350" s="127">
        <f t="shared" ref="F350:F352" si="117">ROUND(E350*1.03,3)</f>
        <v>0.76100000000000001</v>
      </c>
      <c r="G350" s="3"/>
      <c r="H350" s="3">
        <f>F350*G350</f>
        <v>0</v>
      </c>
      <c r="I350" s="3"/>
      <c r="J350" s="3"/>
      <c r="K350" s="3"/>
      <c r="L350" s="3"/>
      <c r="M350" s="92">
        <f t="shared" si="116"/>
        <v>0</v>
      </c>
    </row>
    <row r="351" spans="1:13" s="20" customFormat="1" ht="19.95" customHeight="1">
      <c r="A351" s="91"/>
      <c r="B351" s="161" t="s">
        <v>157</v>
      </c>
      <c r="C351" s="161" t="s">
        <v>158</v>
      </c>
      <c r="D351" s="177" t="s">
        <v>19</v>
      </c>
      <c r="E351" s="128">
        <f>(982+132)/1000</f>
        <v>1.1140000000000001</v>
      </c>
      <c r="F351" s="127">
        <f t="shared" si="117"/>
        <v>1.147</v>
      </c>
      <c r="G351" s="3"/>
      <c r="H351" s="3">
        <f>F351*G351</f>
        <v>0</v>
      </c>
      <c r="I351" s="3"/>
      <c r="J351" s="3"/>
      <c r="K351" s="3"/>
      <c r="L351" s="3"/>
      <c r="M351" s="92">
        <f t="shared" si="116"/>
        <v>0</v>
      </c>
    </row>
    <row r="352" spans="1:13" s="20" customFormat="1" ht="19.95" customHeight="1">
      <c r="A352" s="91"/>
      <c r="B352" s="176" t="s">
        <v>155</v>
      </c>
      <c r="C352" s="176" t="s">
        <v>156</v>
      </c>
      <c r="D352" s="177" t="s">
        <v>19</v>
      </c>
      <c r="E352" s="128">
        <f>(1530+206)/1000</f>
        <v>1.736</v>
      </c>
      <c r="F352" s="127">
        <f t="shared" si="117"/>
        <v>1.788</v>
      </c>
      <c r="G352" s="3"/>
      <c r="H352" s="3">
        <f>F352*G352</f>
        <v>0</v>
      </c>
      <c r="I352" s="3"/>
      <c r="J352" s="3"/>
      <c r="K352" s="3"/>
      <c r="L352" s="3"/>
      <c r="M352" s="92">
        <f t="shared" si="116"/>
        <v>0</v>
      </c>
    </row>
    <row r="353" spans="1:13" s="20" customFormat="1" ht="20.399999999999999" customHeight="1">
      <c r="A353" s="91"/>
      <c r="B353" s="161" t="s">
        <v>30</v>
      </c>
      <c r="C353" s="161" t="s">
        <v>31</v>
      </c>
      <c r="D353" s="159" t="s">
        <v>13</v>
      </c>
      <c r="E353" s="127"/>
      <c r="F353" s="127">
        <f>F348</f>
        <v>13.75</v>
      </c>
      <c r="G353" s="3"/>
      <c r="H353" s="3">
        <f>G353*F353</f>
        <v>0</v>
      </c>
      <c r="I353" s="3"/>
      <c r="J353" s="3"/>
      <c r="K353" s="3"/>
      <c r="L353" s="3"/>
      <c r="M353" s="92">
        <f t="shared" si="116"/>
        <v>0</v>
      </c>
    </row>
    <row r="354" spans="1:13" s="20" customFormat="1" ht="19.95" customHeight="1">
      <c r="A354" s="91"/>
      <c r="B354" s="179" t="s">
        <v>22</v>
      </c>
      <c r="C354" s="161" t="s">
        <v>23</v>
      </c>
      <c r="D354" s="159" t="s">
        <v>13</v>
      </c>
      <c r="E354" s="124"/>
      <c r="F354" s="124">
        <f>F348</f>
        <v>13.75</v>
      </c>
      <c r="G354" s="3"/>
      <c r="H354" s="3">
        <f>G354*F354</f>
        <v>0</v>
      </c>
      <c r="I354" s="3"/>
      <c r="J354" s="3"/>
      <c r="K354" s="3"/>
      <c r="L354" s="3"/>
      <c r="M354" s="92">
        <f t="shared" si="116"/>
        <v>0</v>
      </c>
    </row>
    <row r="355" spans="1:13" s="20" customFormat="1" ht="49.2" customHeight="1">
      <c r="A355" s="91">
        <v>53</v>
      </c>
      <c r="B355" s="162" t="s">
        <v>191</v>
      </c>
      <c r="C355" s="163" t="s">
        <v>97</v>
      </c>
      <c r="D355" s="159" t="s">
        <v>13</v>
      </c>
      <c r="E355" s="124"/>
      <c r="F355" s="123">
        <v>210.58</v>
      </c>
      <c r="G355" s="3"/>
      <c r="H355" s="3"/>
      <c r="I355" s="3"/>
      <c r="J355" s="3"/>
      <c r="K355" s="3"/>
      <c r="L355" s="3"/>
      <c r="M355" s="92"/>
    </row>
    <row r="356" spans="1:13" s="20" customFormat="1" ht="22.95" customHeight="1">
      <c r="A356" s="91"/>
      <c r="B356" s="179" t="s">
        <v>26</v>
      </c>
      <c r="C356" s="202" t="s">
        <v>27</v>
      </c>
      <c r="D356" s="174" t="s">
        <v>16</v>
      </c>
      <c r="E356" s="124">
        <f>F355/0.25</f>
        <v>842.32</v>
      </c>
      <c r="F356" s="123"/>
      <c r="G356" s="3"/>
      <c r="H356" s="3"/>
      <c r="I356" s="3"/>
      <c r="J356" s="3">
        <f>I356*E356</f>
        <v>0</v>
      </c>
      <c r="K356" s="3"/>
      <c r="L356" s="3"/>
      <c r="M356" s="92">
        <f t="shared" si="116"/>
        <v>0</v>
      </c>
    </row>
    <row r="357" spans="1:13" s="20" customFormat="1" ht="20.399999999999999" customHeight="1">
      <c r="A357" s="91"/>
      <c r="B357" s="175" t="s">
        <v>64</v>
      </c>
      <c r="C357" s="161" t="s">
        <v>67</v>
      </c>
      <c r="D357" s="159" t="s">
        <v>13</v>
      </c>
      <c r="E357" s="127">
        <v>1.0149999999999999</v>
      </c>
      <c r="F357" s="124">
        <f>E357*F355</f>
        <v>213.73869999999999</v>
      </c>
      <c r="G357" s="3"/>
      <c r="H357" s="3">
        <f>G357*F357</f>
        <v>0</v>
      </c>
      <c r="I357" s="3"/>
      <c r="J357" s="3"/>
      <c r="K357" s="3"/>
      <c r="L357" s="3">
        <f>K357*F357</f>
        <v>0</v>
      </c>
      <c r="M357" s="92">
        <f t="shared" si="116"/>
        <v>0</v>
      </c>
    </row>
    <row r="358" spans="1:13" s="20" customFormat="1" ht="19.95" customHeight="1">
      <c r="A358" s="91"/>
      <c r="B358" s="166" t="s">
        <v>154</v>
      </c>
      <c r="C358" s="176" t="s">
        <v>153</v>
      </c>
      <c r="D358" s="177" t="s">
        <v>19</v>
      </c>
      <c r="E358" s="128">
        <f>(10+8)/1000</f>
        <v>1.7999999999999999E-2</v>
      </c>
      <c r="F358" s="127">
        <f t="shared" ref="F358:F361" si="118">ROUND(E358*1.03,3)</f>
        <v>1.9E-2</v>
      </c>
      <c r="G358" s="3"/>
      <c r="H358" s="3">
        <f>F358*G358</f>
        <v>0</v>
      </c>
      <c r="I358" s="3"/>
      <c r="J358" s="3"/>
      <c r="K358" s="3"/>
      <c r="L358" s="3"/>
      <c r="M358" s="92">
        <f t="shared" ref="M358" si="119">L358+J358+H358</f>
        <v>0</v>
      </c>
    </row>
    <row r="359" spans="1:13" s="20" customFormat="1" ht="19.95" customHeight="1">
      <c r="A359" s="91"/>
      <c r="B359" s="166" t="s">
        <v>159</v>
      </c>
      <c r="C359" s="176" t="s">
        <v>160</v>
      </c>
      <c r="D359" s="177" t="s">
        <v>19</v>
      </c>
      <c r="E359" s="128">
        <f>(15822+2612+209+142+73+362+55+654+75+745+260+13+315+1048+707+386+7)/1000</f>
        <v>23.484999999999999</v>
      </c>
      <c r="F359" s="127">
        <f t="shared" si="118"/>
        <v>24.19</v>
      </c>
      <c r="G359" s="3"/>
      <c r="H359" s="3">
        <f>F359*G359</f>
        <v>0</v>
      </c>
      <c r="I359" s="3"/>
      <c r="J359" s="3"/>
      <c r="K359" s="3"/>
      <c r="L359" s="3"/>
      <c r="M359" s="92">
        <f t="shared" si="116"/>
        <v>0</v>
      </c>
    </row>
    <row r="360" spans="1:13" s="20" customFormat="1" ht="19.95" customHeight="1">
      <c r="A360" s="91"/>
      <c r="B360" s="166" t="s">
        <v>161</v>
      </c>
      <c r="C360" s="176" t="s">
        <v>162</v>
      </c>
      <c r="D360" s="177" t="s">
        <v>19</v>
      </c>
      <c r="E360" s="128">
        <f>(145+125+9)/1000</f>
        <v>0.27900000000000003</v>
      </c>
      <c r="F360" s="127">
        <f t="shared" si="118"/>
        <v>0.28699999999999998</v>
      </c>
      <c r="G360" s="3"/>
      <c r="H360" s="3">
        <f>F360*G360</f>
        <v>0</v>
      </c>
      <c r="I360" s="3"/>
      <c r="J360" s="3"/>
      <c r="K360" s="3"/>
      <c r="L360" s="3"/>
      <c r="M360" s="92">
        <f t="shared" si="116"/>
        <v>0</v>
      </c>
    </row>
    <row r="361" spans="1:13" s="20" customFormat="1" ht="19.95" customHeight="1">
      <c r="A361" s="91"/>
      <c r="B361" s="176" t="s">
        <v>155</v>
      </c>
      <c r="C361" s="176" t="s">
        <v>156</v>
      </c>
      <c r="D361" s="177" t="s">
        <v>19</v>
      </c>
      <c r="E361" s="128">
        <f>(242+184)/1000</f>
        <v>0.42599999999999999</v>
      </c>
      <c r="F361" s="127">
        <f t="shared" si="118"/>
        <v>0.439</v>
      </c>
      <c r="G361" s="3"/>
      <c r="H361" s="3">
        <f>F361*G361</f>
        <v>0</v>
      </c>
      <c r="I361" s="3"/>
      <c r="J361" s="3"/>
      <c r="K361" s="3"/>
      <c r="L361" s="3"/>
      <c r="M361" s="92">
        <f t="shared" ref="M361" si="120">L361+J361+H361</f>
        <v>0</v>
      </c>
    </row>
    <row r="362" spans="1:13" s="20" customFormat="1" ht="19.95" customHeight="1">
      <c r="A362" s="91"/>
      <c r="B362" s="206" t="s">
        <v>28</v>
      </c>
      <c r="C362" s="161" t="s">
        <v>29</v>
      </c>
      <c r="D362" s="159" t="s">
        <v>13</v>
      </c>
      <c r="E362" s="127"/>
      <c r="F362" s="124">
        <f>F355</f>
        <v>210.58</v>
      </c>
      <c r="G362" s="3"/>
      <c r="H362" s="3">
        <f t="shared" ref="H362:H363" si="121">G362*F362</f>
        <v>0</v>
      </c>
      <c r="I362" s="3"/>
      <c r="J362" s="3"/>
      <c r="K362" s="3"/>
      <c r="L362" s="3"/>
      <c r="M362" s="92">
        <f t="shared" si="116"/>
        <v>0</v>
      </c>
    </row>
    <row r="363" spans="1:13" s="20" customFormat="1" ht="19.95" customHeight="1">
      <c r="A363" s="91"/>
      <c r="B363" s="179" t="s">
        <v>22</v>
      </c>
      <c r="C363" s="161" t="s">
        <v>23</v>
      </c>
      <c r="D363" s="159" t="s">
        <v>13</v>
      </c>
      <c r="E363" s="124"/>
      <c r="F363" s="124">
        <f>F355</f>
        <v>210.58</v>
      </c>
      <c r="G363" s="3"/>
      <c r="H363" s="3">
        <f t="shared" si="121"/>
        <v>0</v>
      </c>
      <c r="I363" s="3"/>
      <c r="J363" s="3"/>
      <c r="K363" s="3"/>
      <c r="L363" s="3"/>
      <c r="M363" s="92">
        <f t="shared" si="116"/>
        <v>0</v>
      </c>
    </row>
    <row r="364" spans="1:13" s="13" customFormat="1" ht="21.6" customHeight="1">
      <c r="A364" s="61"/>
      <c r="B364" s="200" t="s">
        <v>98</v>
      </c>
      <c r="C364" s="200" t="s">
        <v>99</v>
      </c>
      <c r="D364" s="201"/>
      <c r="E364" s="134"/>
      <c r="F364" s="134"/>
      <c r="G364" s="112"/>
      <c r="H364" s="112"/>
      <c r="I364" s="112"/>
      <c r="J364" s="112"/>
      <c r="K364" s="112"/>
      <c r="L364" s="112"/>
      <c r="M364" s="113"/>
    </row>
    <row r="365" spans="1:13" s="20" customFormat="1" ht="19.95" customHeight="1">
      <c r="A365" s="14"/>
      <c r="B365" s="180" t="s">
        <v>52</v>
      </c>
      <c r="C365" s="181" t="s">
        <v>54</v>
      </c>
      <c r="D365" s="169"/>
      <c r="E365" s="125"/>
      <c r="F365" s="125"/>
      <c r="G365" s="4"/>
      <c r="H365" s="4"/>
      <c r="I365" s="4"/>
      <c r="J365" s="4"/>
      <c r="K365" s="4"/>
      <c r="L365" s="4"/>
      <c r="M365" s="94"/>
    </row>
    <row r="366" spans="1:13" s="20" customFormat="1" ht="48.6" customHeight="1">
      <c r="A366" s="108">
        <v>54</v>
      </c>
      <c r="B366" s="193" t="s">
        <v>192</v>
      </c>
      <c r="C366" s="188" t="s">
        <v>130</v>
      </c>
      <c r="D366" s="184" t="s">
        <v>13</v>
      </c>
      <c r="E366" s="131"/>
      <c r="F366" s="130">
        <v>36</v>
      </c>
      <c r="G366" s="6"/>
      <c r="H366" s="6"/>
      <c r="I366" s="6"/>
      <c r="J366" s="6"/>
      <c r="K366" s="6"/>
      <c r="L366" s="6"/>
      <c r="M366" s="109"/>
    </row>
    <row r="367" spans="1:13" s="20" customFormat="1" ht="19.95" customHeight="1">
      <c r="A367" s="108"/>
      <c r="B367" s="186" t="s">
        <v>64</v>
      </c>
      <c r="C367" s="186" t="s">
        <v>67</v>
      </c>
      <c r="D367" s="184" t="s">
        <v>13</v>
      </c>
      <c r="E367" s="132">
        <v>1.0149999999999999</v>
      </c>
      <c r="F367" s="131">
        <f>E367*F366</f>
        <v>36.54</v>
      </c>
      <c r="G367" s="6"/>
      <c r="H367" s="6">
        <f>G367*F367</f>
        <v>0</v>
      </c>
      <c r="I367" s="6"/>
      <c r="J367" s="6"/>
      <c r="K367" s="6"/>
      <c r="L367" s="6">
        <f>K367*F367</f>
        <v>0</v>
      </c>
      <c r="M367" s="109">
        <f t="shared" ref="M366:M378" si="122">L367+J367+H367</f>
        <v>0</v>
      </c>
    </row>
    <row r="368" spans="1:13" s="20" customFormat="1" ht="19.95" customHeight="1">
      <c r="A368" s="108"/>
      <c r="B368" s="192" t="s">
        <v>152</v>
      </c>
      <c r="C368" s="196" t="s">
        <v>151</v>
      </c>
      <c r="D368" s="197" t="s">
        <v>19</v>
      </c>
      <c r="E368" s="133">
        <f>(850+226+10+16+38+47)/1000</f>
        <v>1.1870000000000001</v>
      </c>
      <c r="F368" s="132">
        <f t="shared" ref="F368:F369" si="123">ROUND(E368*1.03,3)</f>
        <v>1.2230000000000001</v>
      </c>
      <c r="G368" s="6"/>
      <c r="H368" s="6">
        <f>F368*G368</f>
        <v>0</v>
      </c>
      <c r="I368" s="6"/>
      <c r="J368" s="6"/>
      <c r="K368" s="6"/>
      <c r="L368" s="6"/>
      <c r="M368" s="109">
        <f t="shared" si="122"/>
        <v>0</v>
      </c>
    </row>
    <row r="369" spans="1:13" s="20" customFormat="1" ht="19.95" customHeight="1">
      <c r="A369" s="108"/>
      <c r="B369" s="192" t="s">
        <v>159</v>
      </c>
      <c r="C369" s="196" t="s">
        <v>160</v>
      </c>
      <c r="D369" s="197" t="s">
        <v>19</v>
      </c>
      <c r="E369" s="133">
        <f>(1997+58)/1000</f>
        <v>2.0550000000000002</v>
      </c>
      <c r="F369" s="132">
        <f t="shared" si="123"/>
        <v>2.117</v>
      </c>
      <c r="G369" s="6"/>
      <c r="H369" s="6">
        <f>F369*G369</f>
        <v>0</v>
      </c>
      <c r="I369" s="6"/>
      <c r="J369" s="6"/>
      <c r="K369" s="6"/>
      <c r="L369" s="6"/>
      <c r="M369" s="109">
        <f t="shared" si="122"/>
        <v>0</v>
      </c>
    </row>
    <row r="370" spans="1:13" s="20" customFormat="1" ht="21.6" customHeight="1">
      <c r="A370" s="108"/>
      <c r="B370" s="198" t="s">
        <v>24</v>
      </c>
      <c r="C370" s="186" t="s">
        <v>25</v>
      </c>
      <c r="D370" s="184" t="s">
        <v>13</v>
      </c>
      <c r="E370" s="131"/>
      <c r="F370" s="131">
        <f>F366</f>
        <v>36</v>
      </c>
      <c r="G370" s="6"/>
      <c r="H370" s="6">
        <f t="shared" ref="H370:H371" si="124">G370*F370</f>
        <v>0</v>
      </c>
      <c r="I370" s="6"/>
      <c r="J370" s="6"/>
      <c r="K370" s="6"/>
      <c r="L370" s="6"/>
      <c r="M370" s="109">
        <f t="shared" si="122"/>
        <v>0</v>
      </c>
    </row>
    <row r="371" spans="1:13" s="20" customFormat="1" ht="21.6" customHeight="1">
      <c r="A371" s="108"/>
      <c r="B371" s="199" t="s">
        <v>22</v>
      </c>
      <c r="C371" s="186" t="s">
        <v>23</v>
      </c>
      <c r="D371" s="184" t="s">
        <v>13</v>
      </c>
      <c r="E371" s="131"/>
      <c r="F371" s="131">
        <f>F366</f>
        <v>36</v>
      </c>
      <c r="G371" s="6"/>
      <c r="H371" s="6">
        <f t="shared" si="124"/>
        <v>0</v>
      </c>
      <c r="I371" s="6"/>
      <c r="J371" s="6"/>
      <c r="K371" s="6"/>
      <c r="L371" s="6"/>
      <c r="M371" s="109">
        <f t="shared" si="122"/>
        <v>0</v>
      </c>
    </row>
    <row r="372" spans="1:13" s="20" customFormat="1" ht="33" customHeight="1">
      <c r="A372" s="108">
        <v>55</v>
      </c>
      <c r="B372" s="187" t="s">
        <v>193</v>
      </c>
      <c r="C372" s="188" t="s">
        <v>100</v>
      </c>
      <c r="D372" s="184" t="s">
        <v>13</v>
      </c>
      <c r="E372" s="131"/>
      <c r="F372" s="130">
        <f>5.7+0.91+0.57+0.53+6.23+2.67</f>
        <v>16.61</v>
      </c>
      <c r="G372" s="6"/>
      <c r="H372" s="6"/>
      <c r="I372" s="6"/>
      <c r="J372" s="6"/>
      <c r="K372" s="6"/>
      <c r="L372" s="6">
        <f>K372*F372</f>
        <v>0</v>
      </c>
      <c r="M372" s="109">
        <f t="shared" si="122"/>
        <v>0</v>
      </c>
    </row>
    <row r="373" spans="1:13" s="20" customFormat="1" ht="19.95" customHeight="1">
      <c r="A373" s="108"/>
      <c r="B373" s="186" t="s">
        <v>64</v>
      </c>
      <c r="C373" s="186" t="s">
        <v>67</v>
      </c>
      <c r="D373" s="184" t="s">
        <v>13</v>
      </c>
      <c r="E373" s="132">
        <v>1.0149999999999999</v>
      </c>
      <c r="F373" s="131">
        <f>E373*F372</f>
        <v>16.859149999999996</v>
      </c>
      <c r="G373" s="6"/>
      <c r="H373" s="6">
        <f>G373*F373</f>
        <v>0</v>
      </c>
      <c r="I373" s="6"/>
      <c r="J373" s="6"/>
      <c r="K373" s="6"/>
      <c r="L373" s="6">
        <f>K373*F373</f>
        <v>0</v>
      </c>
      <c r="M373" s="109">
        <f t="shared" si="122"/>
        <v>0</v>
      </c>
    </row>
    <row r="374" spans="1:13" s="20" customFormat="1" ht="19.95" customHeight="1">
      <c r="A374" s="108"/>
      <c r="B374" s="192" t="s">
        <v>154</v>
      </c>
      <c r="C374" s="196" t="s">
        <v>153</v>
      </c>
      <c r="D374" s="197" t="s">
        <v>19</v>
      </c>
      <c r="E374" s="133">
        <f>(142+106+22+17+18+5+19+5+192+143+65+48)/1000</f>
        <v>0.78200000000000003</v>
      </c>
      <c r="F374" s="132">
        <f t="shared" ref="F374:F376" si="125">ROUND(E374*1.03,3)</f>
        <v>0.80500000000000005</v>
      </c>
      <c r="G374" s="6"/>
      <c r="H374" s="6">
        <f>G374*F374</f>
        <v>0</v>
      </c>
      <c r="I374" s="6"/>
      <c r="J374" s="6"/>
      <c r="K374" s="6"/>
      <c r="L374" s="6"/>
      <c r="M374" s="109">
        <f t="shared" si="122"/>
        <v>0</v>
      </c>
    </row>
    <row r="375" spans="1:13" s="20" customFormat="1" ht="19.95" customHeight="1">
      <c r="A375" s="108"/>
      <c r="B375" s="192" t="s">
        <v>161</v>
      </c>
      <c r="C375" s="196" t="s">
        <v>162</v>
      </c>
      <c r="D375" s="197" t="s">
        <v>19</v>
      </c>
      <c r="E375" s="133">
        <f>615.24/1000</f>
        <v>0.61524000000000001</v>
      </c>
      <c r="F375" s="132">
        <f t="shared" si="125"/>
        <v>0.63400000000000001</v>
      </c>
      <c r="G375" s="6"/>
      <c r="H375" s="6">
        <f>F375*G375</f>
        <v>0</v>
      </c>
      <c r="I375" s="6"/>
      <c r="J375" s="6"/>
      <c r="K375" s="6"/>
      <c r="L375" s="6"/>
      <c r="M375" s="109">
        <f t="shared" si="122"/>
        <v>0</v>
      </c>
    </row>
    <row r="376" spans="1:13" s="20" customFormat="1" ht="19.95" customHeight="1">
      <c r="A376" s="108"/>
      <c r="B376" s="196" t="s">
        <v>155</v>
      </c>
      <c r="C376" s="196" t="s">
        <v>156</v>
      </c>
      <c r="D376" s="197" t="s">
        <v>19</v>
      </c>
      <c r="E376" s="133">
        <f>(301+359)/1000</f>
        <v>0.66</v>
      </c>
      <c r="F376" s="132">
        <f t="shared" si="125"/>
        <v>0.68</v>
      </c>
      <c r="G376" s="6"/>
      <c r="H376" s="6">
        <f>F376*G376</f>
        <v>0</v>
      </c>
      <c r="I376" s="6"/>
      <c r="J376" s="6"/>
      <c r="K376" s="6"/>
      <c r="L376" s="6"/>
      <c r="M376" s="109">
        <f t="shared" si="122"/>
        <v>0</v>
      </c>
    </row>
    <row r="377" spans="1:13" s="20" customFormat="1" ht="19.95" customHeight="1">
      <c r="A377" s="108"/>
      <c r="B377" s="198" t="s">
        <v>32</v>
      </c>
      <c r="C377" s="186" t="s">
        <v>33</v>
      </c>
      <c r="D377" s="184" t="s">
        <v>13</v>
      </c>
      <c r="E377" s="131"/>
      <c r="F377" s="131">
        <f>F372</f>
        <v>16.61</v>
      </c>
      <c r="G377" s="6"/>
      <c r="H377" s="6">
        <f>G377*F377</f>
        <v>0</v>
      </c>
      <c r="I377" s="6"/>
      <c r="J377" s="6"/>
      <c r="K377" s="6"/>
      <c r="L377" s="6"/>
      <c r="M377" s="109">
        <f t="shared" si="122"/>
        <v>0</v>
      </c>
    </row>
    <row r="378" spans="1:13" s="20" customFormat="1" ht="21.6" customHeight="1">
      <c r="A378" s="108"/>
      <c r="B378" s="199" t="s">
        <v>22</v>
      </c>
      <c r="C378" s="186" t="s">
        <v>23</v>
      </c>
      <c r="D378" s="184" t="s">
        <v>13</v>
      </c>
      <c r="E378" s="131"/>
      <c r="F378" s="131">
        <f>F372</f>
        <v>16.61</v>
      </c>
      <c r="G378" s="6"/>
      <c r="H378" s="6">
        <f>G378*F378</f>
        <v>0</v>
      </c>
      <c r="I378" s="6"/>
      <c r="J378" s="6"/>
      <c r="K378" s="6"/>
      <c r="L378" s="6"/>
      <c r="M378" s="109">
        <f t="shared" si="122"/>
        <v>0</v>
      </c>
    </row>
    <row r="379" spans="1:13" s="20" customFormat="1" ht="34.950000000000003" customHeight="1">
      <c r="A379" s="108">
        <v>56</v>
      </c>
      <c r="B379" s="187" t="s">
        <v>215</v>
      </c>
      <c r="C379" s="188" t="s">
        <v>101</v>
      </c>
      <c r="D379" s="184" t="s">
        <v>13</v>
      </c>
      <c r="E379" s="131"/>
      <c r="F379" s="130">
        <f>3.4+0.7</f>
        <v>4.0999999999999996</v>
      </c>
      <c r="G379" s="6"/>
      <c r="H379" s="6"/>
      <c r="I379" s="6"/>
      <c r="J379" s="6"/>
      <c r="K379" s="6"/>
      <c r="L379" s="6"/>
      <c r="M379" s="109"/>
    </row>
    <row r="380" spans="1:13" s="20" customFormat="1" ht="22.2" customHeight="1">
      <c r="A380" s="108"/>
      <c r="B380" s="204" t="s">
        <v>396</v>
      </c>
      <c r="C380" s="204" t="s">
        <v>35</v>
      </c>
      <c r="D380" s="205" t="s">
        <v>34</v>
      </c>
      <c r="E380" s="131">
        <v>24</v>
      </c>
      <c r="F380" s="130"/>
      <c r="G380" s="6"/>
      <c r="H380" s="6"/>
      <c r="I380" s="6"/>
      <c r="J380" s="6">
        <f>I380*E380</f>
        <v>0</v>
      </c>
      <c r="K380" s="6"/>
      <c r="L380" s="6"/>
      <c r="M380" s="109">
        <f>H380+J380+L380</f>
        <v>0</v>
      </c>
    </row>
    <row r="381" spans="1:13" s="20" customFormat="1" ht="19.95" customHeight="1">
      <c r="A381" s="108"/>
      <c r="B381" s="186" t="s">
        <v>64</v>
      </c>
      <c r="C381" s="186" t="s">
        <v>67</v>
      </c>
      <c r="D381" s="184" t="s">
        <v>13</v>
      </c>
      <c r="E381" s="132">
        <v>1.0149999999999999</v>
      </c>
      <c r="F381" s="131">
        <f>E381*F379</f>
        <v>4.1614999999999993</v>
      </c>
      <c r="G381" s="6"/>
      <c r="H381" s="6">
        <f>G381*F381</f>
        <v>0</v>
      </c>
      <c r="I381" s="6"/>
      <c r="J381" s="6"/>
      <c r="K381" s="6"/>
      <c r="L381" s="6">
        <f>K381*F381</f>
        <v>0</v>
      </c>
      <c r="M381" s="109">
        <f t="shared" ref="M381:M385" si="126">L381+J381+H381</f>
        <v>0</v>
      </c>
    </row>
    <row r="382" spans="1:13" s="20" customFormat="1" ht="19.95" customHeight="1">
      <c r="A382" s="108"/>
      <c r="B382" s="192" t="s">
        <v>152</v>
      </c>
      <c r="C382" s="196" t="s">
        <v>151</v>
      </c>
      <c r="D382" s="197" t="s">
        <v>19</v>
      </c>
      <c r="E382" s="133">
        <f>(62+35+26+9+7)/1000</f>
        <v>0.13900000000000001</v>
      </c>
      <c r="F382" s="132">
        <f t="shared" ref="F382:F383" si="127">ROUND(E382*1.03,3)</f>
        <v>0.14299999999999999</v>
      </c>
      <c r="G382" s="6"/>
      <c r="H382" s="6">
        <f>G382*F382</f>
        <v>0</v>
      </c>
      <c r="I382" s="6"/>
      <c r="J382" s="6"/>
      <c r="K382" s="6"/>
      <c r="L382" s="6"/>
      <c r="M382" s="109">
        <f t="shared" si="126"/>
        <v>0</v>
      </c>
    </row>
    <row r="383" spans="1:13" s="20" customFormat="1" ht="19.95" customHeight="1">
      <c r="A383" s="108"/>
      <c r="B383" s="192" t="s">
        <v>159</v>
      </c>
      <c r="C383" s="196" t="s">
        <v>160</v>
      </c>
      <c r="D383" s="197" t="s">
        <v>19</v>
      </c>
      <c r="E383" s="133">
        <f>(202+40+9+9)/1000</f>
        <v>0.26</v>
      </c>
      <c r="F383" s="132">
        <f t="shared" si="127"/>
        <v>0.26800000000000002</v>
      </c>
      <c r="G383" s="6"/>
      <c r="H383" s="6">
        <f>F383*G383</f>
        <v>0</v>
      </c>
      <c r="I383" s="6"/>
      <c r="J383" s="6"/>
      <c r="K383" s="6"/>
      <c r="L383" s="6"/>
      <c r="M383" s="109">
        <f t="shared" si="126"/>
        <v>0</v>
      </c>
    </row>
    <row r="384" spans="1:13" s="20" customFormat="1" ht="19.95" customHeight="1">
      <c r="A384" s="108"/>
      <c r="B384" s="186" t="s">
        <v>36</v>
      </c>
      <c r="C384" s="186" t="s">
        <v>37</v>
      </c>
      <c r="D384" s="184" t="s">
        <v>13</v>
      </c>
      <c r="E384" s="132"/>
      <c r="F384" s="131">
        <f>F379</f>
        <v>4.0999999999999996</v>
      </c>
      <c r="G384" s="6"/>
      <c r="H384" s="6">
        <f>G384*F384</f>
        <v>0</v>
      </c>
      <c r="I384" s="6"/>
      <c r="J384" s="6"/>
      <c r="K384" s="6"/>
      <c r="L384" s="6"/>
      <c r="M384" s="109">
        <f t="shared" si="126"/>
        <v>0</v>
      </c>
    </row>
    <row r="385" spans="1:13" s="20" customFormat="1" ht="19.95" customHeight="1">
      <c r="A385" s="108"/>
      <c r="B385" s="199" t="s">
        <v>22</v>
      </c>
      <c r="C385" s="186" t="s">
        <v>23</v>
      </c>
      <c r="D385" s="184" t="s">
        <v>13</v>
      </c>
      <c r="E385" s="131"/>
      <c r="F385" s="131">
        <f>F379</f>
        <v>4.0999999999999996</v>
      </c>
      <c r="G385" s="6"/>
      <c r="H385" s="6">
        <f>G385*F385</f>
        <v>0</v>
      </c>
      <c r="I385" s="6"/>
      <c r="J385" s="6"/>
      <c r="K385" s="6"/>
      <c r="L385" s="6"/>
      <c r="M385" s="109">
        <f t="shared" si="126"/>
        <v>0</v>
      </c>
    </row>
    <row r="386" spans="1:13" s="20" customFormat="1" ht="49.95" customHeight="1">
      <c r="A386" s="108">
        <v>57</v>
      </c>
      <c r="B386" s="193" t="s">
        <v>194</v>
      </c>
      <c r="C386" s="188" t="s">
        <v>132</v>
      </c>
      <c r="D386" s="184" t="s">
        <v>13</v>
      </c>
      <c r="E386" s="131"/>
      <c r="F386" s="130">
        <f>1.12+12.63</f>
        <v>13.75</v>
      </c>
      <c r="G386" s="6"/>
      <c r="H386" s="6"/>
      <c r="I386" s="6"/>
      <c r="J386" s="6"/>
      <c r="K386" s="6"/>
      <c r="L386" s="6"/>
      <c r="M386" s="109"/>
    </row>
    <row r="387" spans="1:13" s="20" customFormat="1" ht="19.95" customHeight="1">
      <c r="A387" s="108"/>
      <c r="B387" s="186" t="s">
        <v>64</v>
      </c>
      <c r="C387" s="186" t="s">
        <v>67</v>
      </c>
      <c r="D387" s="184" t="s">
        <v>13</v>
      </c>
      <c r="E387" s="132">
        <v>1.0149999999999999</v>
      </c>
      <c r="F387" s="131">
        <f>E387*F386</f>
        <v>13.956249999999999</v>
      </c>
      <c r="G387" s="6"/>
      <c r="H387" s="6">
        <f>G387*F387</f>
        <v>0</v>
      </c>
      <c r="I387" s="6"/>
      <c r="J387" s="6"/>
      <c r="K387" s="6"/>
      <c r="L387" s="6">
        <f>K387*F387</f>
        <v>0</v>
      </c>
      <c r="M387" s="109">
        <f t="shared" ref="M387:M392" si="128">L387+J387+H387</f>
        <v>0</v>
      </c>
    </row>
    <row r="388" spans="1:13" s="20" customFormat="1" ht="19.2" customHeight="1">
      <c r="A388" s="108"/>
      <c r="B388" s="192" t="s">
        <v>154</v>
      </c>
      <c r="C388" s="196" t="s">
        <v>153</v>
      </c>
      <c r="D388" s="197" t="s">
        <v>19</v>
      </c>
      <c r="E388" s="133">
        <f>(53+686)/1000</f>
        <v>0.73899999999999999</v>
      </c>
      <c r="F388" s="132">
        <f t="shared" ref="F388:F390" si="129">ROUND(E388*1.03,3)</f>
        <v>0.76100000000000001</v>
      </c>
      <c r="G388" s="6"/>
      <c r="H388" s="6">
        <f>F388*G388</f>
        <v>0</v>
      </c>
      <c r="I388" s="6"/>
      <c r="J388" s="6"/>
      <c r="K388" s="6"/>
      <c r="L388" s="6"/>
      <c r="M388" s="109">
        <f t="shared" si="128"/>
        <v>0</v>
      </c>
    </row>
    <row r="389" spans="1:13" s="20" customFormat="1" ht="19.95" customHeight="1">
      <c r="A389" s="108"/>
      <c r="B389" s="186" t="s">
        <v>157</v>
      </c>
      <c r="C389" s="186" t="s">
        <v>158</v>
      </c>
      <c r="D389" s="197" t="s">
        <v>19</v>
      </c>
      <c r="E389" s="133">
        <f>(982+132)/1000</f>
        <v>1.1140000000000001</v>
      </c>
      <c r="F389" s="132">
        <f t="shared" si="129"/>
        <v>1.147</v>
      </c>
      <c r="G389" s="6"/>
      <c r="H389" s="6">
        <f>F389*G389</f>
        <v>0</v>
      </c>
      <c r="I389" s="6"/>
      <c r="J389" s="6"/>
      <c r="K389" s="6"/>
      <c r="L389" s="6"/>
      <c r="M389" s="109">
        <f t="shared" si="128"/>
        <v>0</v>
      </c>
    </row>
    <row r="390" spans="1:13" s="20" customFormat="1" ht="19.95" customHeight="1">
      <c r="A390" s="108"/>
      <c r="B390" s="196" t="s">
        <v>155</v>
      </c>
      <c r="C390" s="196" t="s">
        <v>156</v>
      </c>
      <c r="D390" s="197" t="s">
        <v>19</v>
      </c>
      <c r="E390" s="133">
        <f>(1530+206)/1000</f>
        <v>1.736</v>
      </c>
      <c r="F390" s="132">
        <f t="shared" si="129"/>
        <v>1.788</v>
      </c>
      <c r="G390" s="6"/>
      <c r="H390" s="6">
        <f>F390*G390</f>
        <v>0</v>
      </c>
      <c r="I390" s="6"/>
      <c r="J390" s="6"/>
      <c r="K390" s="6"/>
      <c r="L390" s="6"/>
      <c r="M390" s="109">
        <f t="shared" si="128"/>
        <v>0</v>
      </c>
    </row>
    <row r="391" spans="1:13" s="20" customFormat="1" ht="20.399999999999999" customHeight="1">
      <c r="A391" s="108"/>
      <c r="B391" s="186" t="s">
        <v>30</v>
      </c>
      <c r="C391" s="186" t="s">
        <v>31</v>
      </c>
      <c r="D391" s="184" t="s">
        <v>13</v>
      </c>
      <c r="E391" s="132"/>
      <c r="F391" s="132">
        <f>F386</f>
        <v>13.75</v>
      </c>
      <c r="G391" s="6"/>
      <c r="H391" s="6">
        <f>G391*F391</f>
        <v>0</v>
      </c>
      <c r="I391" s="6"/>
      <c r="J391" s="6"/>
      <c r="K391" s="6"/>
      <c r="L391" s="6"/>
      <c r="M391" s="109">
        <f t="shared" si="128"/>
        <v>0</v>
      </c>
    </row>
    <row r="392" spans="1:13" s="20" customFormat="1" ht="19.95" customHeight="1">
      <c r="A392" s="108"/>
      <c r="B392" s="199" t="s">
        <v>22</v>
      </c>
      <c r="C392" s="186" t="s">
        <v>23</v>
      </c>
      <c r="D392" s="184" t="s">
        <v>13</v>
      </c>
      <c r="E392" s="131"/>
      <c r="F392" s="131">
        <f>F386</f>
        <v>13.75</v>
      </c>
      <c r="G392" s="6"/>
      <c r="H392" s="6">
        <f>G392*F392</f>
        <v>0</v>
      </c>
      <c r="I392" s="6"/>
      <c r="J392" s="6"/>
      <c r="K392" s="6"/>
      <c r="L392" s="6"/>
      <c r="M392" s="109">
        <f t="shared" si="128"/>
        <v>0</v>
      </c>
    </row>
    <row r="393" spans="1:13" s="20" customFormat="1" ht="49.2" customHeight="1">
      <c r="A393" s="108">
        <v>58</v>
      </c>
      <c r="B393" s="187" t="s">
        <v>195</v>
      </c>
      <c r="C393" s="188" t="s">
        <v>102</v>
      </c>
      <c r="D393" s="184" t="s">
        <v>13</v>
      </c>
      <c r="E393" s="131"/>
      <c r="F393" s="130">
        <v>210.58</v>
      </c>
      <c r="G393" s="6"/>
      <c r="H393" s="6"/>
      <c r="I393" s="6"/>
      <c r="J393" s="6"/>
      <c r="K393" s="6"/>
      <c r="L393" s="6"/>
      <c r="M393" s="109"/>
    </row>
    <row r="394" spans="1:13" s="20" customFormat="1" ht="22.95" customHeight="1">
      <c r="A394" s="108"/>
      <c r="B394" s="199" t="s">
        <v>26</v>
      </c>
      <c r="C394" s="204" t="s">
        <v>27</v>
      </c>
      <c r="D394" s="195" t="s">
        <v>16</v>
      </c>
      <c r="E394" s="131">
        <f>F393/0.28</f>
        <v>752.07142857142856</v>
      </c>
      <c r="F394" s="130"/>
      <c r="G394" s="6"/>
      <c r="H394" s="6"/>
      <c r="I394" s="6"/>
      <c r="J394" s="6">
        <f>I394*E394</f>
        <v>0</v>
      </c>
      <c r="K394" s="6"/>
      <c r="L394" s="6"/>
      <c r="M394" s="109">
        <f t="shared" ref="M394:M401" si="130">L394+J394+H394</f>
        <v>0</v>
      </c>
    </row>
    <row r="395" spans="1:13" s="20" customFormat="1" ht="20.399999999999999" customHeight="1">
      <c r="A395" s="108"/>
      <c r="B395" s="186" t="s">
        <v>64</v>
      </c>
      <c r="C395" s="186" t="s">
        <v>67</v>
      </c>
      <c r="D395" s="184" t="s">
        <v>13</v>
      </c>
      <c r="E395" s="132">
        <v>1.0149999999999999</v>
      </c>
      <c r="F395" s="131">
        <f>E395*F393</f>
        <v>213.73869999999999</v>
      </c>
      <c r="G395" s="6"/>
      <c r="H395" s="6">
        <f>G395*F395</f>
        <v>0</v>
      </c>
      <c r="I395" s="6"/>
      <c r="J395" s="6"/>
      <c r="K395" s="6"/>
      <c r="L395" s="6">
        <f>K395*F395</f>
        <v>0</v>
      </c>
      <c r="M395" s="109">
        <f t="shared" si="130"/>
        <v>0</v>
      </c>
    </row>
    <row r="396" spans="1:13" s="20" customFormat="1" ht="19.2" customHeight="1">
      <c r="A396" s="108"/>
      <c r="B396" s="192" t="s">
        <v>154</v>
      </c>
      <c r="C396" s="196" t="s">
        <v>153</v>
      </c>
      <c r="D396" s="197" t="s">
        <v>19</v>
      </c>
      <c r="E396" s="133">
        <f>18/1000</f>
        <v>1.7999999999999999E-2</v>
      </c>
      <c r="F396" s="132">
        <f t="shared" ref="F396:F399" si="131">ROUND(E396*1.03,3)</f>
        <v>1.9E-2</v>
      </c>
      <c r="G396" s="6"/>
      <c r="H396" s="6">
        <f>F396*G396</f>
        <v>0</v>
      </c>
      <c r="I396" s="6"/>
      <c r="J396" s="6"/>
      <c r="K396" s="6"/>
      <c r="L396" s="6"/>
      <c r="M396" s="109">
        <f t="shared" si="130"/>
        <v>0</v>
      </c>
    </row>
    <row r="397" spans="1:13" s="20" customFormat="1" ht="19.95" customHeight="1">
      <c r="A397" s="108"/>
      <c r="B397" s="192" t="s">
        <v>159</v>
      </c>
      <c r="C397" s="196" t="s">
        <v>160</v>
      </c>
      <c r="D397" s="197" t="s">
        <v>19</v>
      </c>
      <c r="E397" s="133">
        <f>(15850+2726+71+30+357+55+654+75+745+260+13+315+1048+707+386+7)/1000</f>
        <v>23.298999999999999</v>
      </c>
      <c r="F397" s="132">
        <f t="shared" si="131"/>
        <v>23.998000000000001</v>
      </c>
      <c r="G397" s="6"/>
      <c r="H397" s="6">
        <f>F397*G397</f>
        <v>0</v>
      </c>
      <c r="I397" s="6"/>
      <c r="J397" s="6"/>
      <c r="K397" s="6"/>
      <c r="L397" s="6"/>
      <c r="M397" s="109">
        <f t="shared" si="130"/>
        <v>0</v>
      </c>
    </row>
    <row r="398" spans="1:13" s="20" customFormat="1" ht="19.95" customHeight="1">
      <c r="A398" s="108"/>
      <c r="B398" s="192" t="s">
        <v>161</v>
      </c>
      <c r="C398" s="196" t="s">
        <v>162</v>
      </c>
      <c r="D398" s="197" t="s">
        <v>19</v>
      </c>
      <c r="E398" s="133">
        <f>(145+125+9)/1000</f>
        <v>0.27900000000000003</v>
      </c>
      <c r="F398" s="132">
        <f t="shared" si="131"/>
        <v>0.28699999999999998</v>
      </c>
      <c r="G398" s="6"/>
      <c r="H398" s="6">
        <f>F398*G398</f>
        <v>0</v>
      </c>
      <c r="I398" s="6"/>
      <c r="J398" s="6"/>
      <c r="K398" s="6"/>
      <c r="L398" s="6"/>
      <c r="M398" s="109">
        <f t="shared" si="130"/>
        <v>0</v>
      </c>
    </row>
    <row r="399" spans="1:13" s="20" customFormat="1" ht="19.95" customHeight="1">
      <c r="A399" s="108"/>
      <c r="B399" s="196" t="s">
        <v>155</v>
      </c>
      <c r="C399" s="196" t="s">
        <v>156</v>
      </c>
      <c r="D399" s="197" t="s">
        <v>19</v>
      </c>
      <c r="E399" s="133">
        <f>(242+184)/1000</f>
        <v>0.42599999999999999</v>
      </c>
      <c r="F399" s="132">
        <f t="shared" si="131"/>
        <v>0.439</v>
      </c>
      <c r="G399" s="6"/>
      <c r="H399" s="6">
        <f>F399*G399</f>
        <v>0</v>
      </c>
      <c r="I399" s="6"/>
      <c r="J399" s="6"/>
      <c r="K399" s="6"/>
      <c r="L399" s="6"/>
      <c r="M399" s="109">
        <f t="shared" si="130"/>
        <v>0</v>
      </c>
    </row>
    <row r="400" spans="1:13" s="20" customFormat="1" ht="19.95" customHeight="1">
      <c r="A400" s="108"/>
      <c r="B400" s="207" t="s">
        <v>28</v>
      </c>
      <c r="C400" s="186" t="s">
        <v>29</v>
      </c>
      <c r="D400" s="184" t="s">
        <v>13</v>
      </c>
      <c r="E400" s="132"/>
      <c r="F400" s="131">
        <f>F393</f>
        <v>210.58</v>
      </c>
      <c r="G400" s="6"/>
      <c r="H400" s="6">
        <f t="shared" ref="H400:H401" si="132">G400*F400</f>
        <v>0</v>
      </c>
      <c r="I400" s="6"/>
      <c r="J400" s="6"/>
      <c r="K400" s="6"/>
      <c r="L400" s="6"/>
      <c r="M400" s="109">
        <f t="shared" si="130"/>
        <v>0</v>
      </c>
    </row>
    <row r="401" spans="1:13" s="20" customFormat="1" ht="19.95" customHeight="1">
      <c r="A401" s="108"/>
      <c r="B401" s="199" t="s">
        <v>22</v>
      </c>
      <c r="C401" s="186" t="s">
        <v>23</v>
      </c>
      <c r="D401" s="184" t="s">
        <v>13</v>
      </c>
      <c r="E401" s="131"/>
      <c r="F401" s="131">
        <f>F393</f>
        <v>210.58</v>
      </c>
      <c r="G401" s="6"/>
      <c r="H401" s="6">
        <f t="shared" si="132"/>
        <v>0</v>
      </c>
      <c r="I401" s="6"/>
      <c r="J401" s="6"/>
      <c r="K401" s="6"/>
      <c r="L401" s="6"/>
      <c r="M401" s="109">
        <f t="shared" si="130"/>
        <v>0</v>
      </c>
    </row>
    <row r="402" spans="1:13" s="20" customFormat="1" ht="19.95" customHeight="1">
      <c r="A402" s="14"/>
      <c r="B402" s="180" t="s">
        <v>51</v>
      </c>
      <c r="C402" s="181" t="s">
        <v>53</v>
      </c>
      <c r="D402" s="169"/>
      <c r="E402" s="125"/>
      <c r="F402" s="125"/>
      <c r="G402" s="4"/>
      <c r="H402" s="4"/>
      <c r="I402" s="4"/>
      <c r="J402" s="4"/>
      <c r="K402" s="4"/>
      <c r="L402" s="4"/>
      <c r="M402" s="94"/>
    </row>
    <row r="403" spans="1:13" s="20" customFormat="1" ht="48.6" customHeight="1">
      <c r="A403" s="91">
        <v>59</v>
      </c>
      <c r="B403" s="172" t="s">
        <v>196</v>
      </c>
      <c r="C403" s="163" t="s">
        <v>142</v>
      </c>
      <c r="D403" s="159" t="s">
        <v>13</v>
      </c>
      <c r="E403" s="124"/>
      <c r="F403" s="123">
        <v>26</v>
      </c>
      <c r="G403" s="3"/>
      <c r="H403" s="3"/>
      <c r="I403" s="3"/>
      <c r="J403" s="3"/>
      <c r="K403" s="3"/>
      <c r="L403" s="3"/>
      <c r="M403" s="92"/>
    </row>
    <row r="404" spans="1:13" s="20" customFormat="1" ht="19.95" customHeight="1">
      <c r="A404" s="91"/>
      <c r="B404" s="175" t="s">
        <v>64</v>
      </c>
      <c r="C404" s="161" t="s">
        <v>67</v>
      </c>
      <c r="D404" s="159" t="s">
        <v>13</v>
      </c>
      <c r="E404" s="127">
        <v>1.0149999999999999</v>
      </c>
      <c r="F404" s="124">
        <f>E404*F403</f>
        <v>26.389999999999997</v>
      </c>
      <c r="G404" s="3"/>
      <c r="H404" s="3">
        <f>G404*F404</f>
        <v>0</v>
      </c>
      <c r="I404" s="3"/>
      <c r="J404" s="3"/>
      <c r="K404" s="3"/>
      <c r="L404" s="3">
        <f>K404*F404</f>
        <v>0</v>
      </c>
      <c r="M404" s="92">
        <f t="shared" ref="M403:M408" si="133">L404+J404+H404</f>
        <v>0</v>
      </c>
    </row>
    <row r="405" spans="1:13" s="20" customFormat="1" ht="19.95" customHeight="1">
      <c r="A405" s="91"/>
      <c r="B405" s="166" t="s">
        <v>152</v>
      </c>
      <c r="C405" s="176" t="s">
        <v>151</v>
      </c>
      <c r="D405" s="177" t="s">
        <v>19</v>
      </c>
      <c r="E405" s="128">
        <f>(647+223+31)/1000</f>
        <v>0.90100000000000002</v>
      </c>
      <c r="F405" s="127">
        <f t="shared" ref="F405:F406" si="134">ROUND(E405*1.03,3)</f>
        <v>0.92800000000000005</v>
      </c>
      <c r="G405" s="3"/>
      <c r="H405" s="3">
        <f>F405*G405</f>
        <v>0</v>
      </c>
      <c r="I405" s="3"/>
      <c r="J405" s="3"/>
      <c r="K405" s="3"/>
      <c r="L405" s="3"/>
      <c r="M405" s="92">
        <f t="shared" si="133"/>
        <v>0</v>
      </c>
    </row>
    <row r="406" spans="1:13" s="20" customFormat="1" ht="19.95" customHeight="1">
      <c r="A406" s="91"/>
      <c r="B406" s="166" t="s">
        <v>159</v>
      </c>
      <c r="C406" s="176" t="s">
        <v>160</v>
      </c>
      <c r="D406" s="177" t="s">
        <v>19</v>
      </c>
      <c r="E406" s="128">
        <f>(1415+148)/1000</f>
        <v>1.5629999999999999</v>
      </c>
      <c r="F406" s="127">
        <f t="shared" si="134"/>
        <v>1.61</v>
      </c>
      <c r="G406" s="3"/>
      <c r="H406" s="3">
        <f>F406*G406</f>
        <v>0</v>
      </c>
      <c r="I406" s="3"/>
      <c r="J406" s="3"/>
      <c r="K406" s="3"/>
      <c r="L406" s="3"/>
      <c r="M406" s="92">
        <f t="shared" si="133"/>
        <v>0</v>
      </c>
    </row>
    <row r="407" spans="1:13" s="20" customFormat="1" ht="21.6" customHeight="1">
      <c r="A407" s="91"/>
      <c r="B407" s="178" t="s">
        <v>24</v>
      </c>
      <c r="C407" s="161" t="s">
        <v>25</v>
      </c>
      <c r="D407" s="159" t="s">
        <v>13</v>
      </c>
      <c r="E407" s="124"/>
      <c r="F407" s="124">
        <f>F403</f>
        <v>26</v>
      </c>
      <c r="G407" s="3"/>
      <c r="H407" s="3">
        <f t="shared" ref="H407:H408" si="135">G407*F407</f>
        <v>0</v>
      </c>
      <c r="I407" s="3"/>
      <c r="J407" s="3"/>
      <c r="K407" s="3"/>
      <c r="L407" s="3"/>
      <c r="M407" s="92">
        <f t="shared" si="133"/>
        <v>0</v>
      </c>
    </row>
    <row r="408" spans="1:13" s="20" customFormat="1" ht="21.6" customHeight="1">
      <c r="A408" s="91"/>
      <c r="B408" s="179" t="s">
        <v>22</v>
      </c>
      <c r="C408" s="161" t="s">
        <v>23</v>
      </c>
      <c r="D408" s="159" t="s">
        <v>13</v>
      </c>
      <c r="E408" s="124"/>
      <c r="F408" s="124">
        <f>F403</f>
        <v>26</v>
      </c>
      <c r="G408" s="3"/>
      <c r="H408" s="3">
        <f t="shared" si="135"/>
        <v>0</v>
      </c>
      <c r="I408" s="3"/>
      <c r="J408" s="3"/>
      <c r="K408" s="3"/>
      <c r="L408" s="3"/>
      <c r="M408" s="92">
        <f t="shared" si="133"/>
        <v>0</v>
      </c>
    </row>
    <row r="409" spans="1:13" s="20" customFormat="1" ht="33" customHeight="1">
      <c r="A409" s="91">
        <v>60</v>
      </c>
      <c r="B409" s="162" t="s">
        <v>193</v>
      </c>
      <c r="C409" s="163" t="s">
        <v>100</v>
      </c>
      <c r="D409" s="159" t="s">
        <v>13</v>
      </c>
      <c r="E409" s="124"/>
      <c r="F409" s="123">
        <v>0.81</v>
      </c>
      <c r="G409" s="3"/>
      <c r="H409" s="3"/>
      <c r="I409" s="3"/>
      <c r="J409" s="3"/>
      <c r="K409" s="3"/>
      <c r="L409" s="3"/>
      <c r="M409" s="92"/>
    </row>
    <row r="410" spans="1:13" s="20" customFormat="1" ht="19.95" customHeight="1">
      <c r="A410" s="91"/>
      <c r="B410" s="175" t="s">
        <v>64</v>
      </c>
      <c r="C410" s="161" t="s">
        <v>67</v>
      </c>
      <c r="D410" s="159" t="s">
        <v>13</v>
      </c>
      <c r="E410" s="127">
        <v>1.0149999999999999</v>
      </c>
      <c r="F410" s="124">
        <f>E410*F409</f>
        <v>0.82214999999999994</v>
      </c>
      <c r="G410" s="3"/>
      <c r="H410" s="3">
        <f>G410*F410</f>
        <v>0</v>
      </c>
      <c r="I410" s="3"/>
      <c r="J410" s="3"/>
      <c r="K410" s="3"/>
      <c r="L410" s="3">
        <f>K410*F410</f>
        <v>0</v>
      </c>
      <c r="M410" s="92">
        <f t="shared" ref="M410:M414" si="136">L410+J410+H410</f>
        <v>0</v>
      </c>
    </row>
    <row r="411" spans="1:13" s="20" customFormat="1" ht="19.95" customHeight="1">
      <c r="A411" s="91"/>
      <c r="B411" s="166" t="s">
        <v>154</v>
      </c>
      <c r="C411" s="176" t="s">
        <v>153</v>
      </c>
      <c r="D411" s="177" t="s">
        <v>19</v>
      </c>
      <c r="E411" s="128">
        <f>(36+10)/1000</f>
        <v>4.5999999999999999E-2</v>
      </c>
      <c r="F411" s="127">
        <f t="shared" ref="F411:F412" si="137">ROUND(E411*1.03,3)</f>
        <v>4.7E-2</v>
      </c>
      <c r="G411" s="3"/>
      <c r="H411" s="3">
        <f>G411*F411</f>
        <v>0</v>
      </c>
      <c r="I411" s="3"/>
      <c r="J411" s="3"/>
      <c r="K411" s="3"/>
      <c r="L411" s="3"/>
      <c r="M411" s="92">
        <f t="shared" si="136"/>
        <v>0</v>
      </c>
    </row>
    <row r="412" spans="1:13" s="20" customFormat="1" ht="19.95" customHeight="1">
      <c r="A412" s="91"/>
      <c r="B412" s="166" t="s">
        <v>161</v>
      </c>
      <c r="C412" s="176" t="s">
        <v>162</v>
      </c>
      <c r="D412" s="177" t="s">
        <v>19</v>
      </c>
      <c r="E412" s="128">
        <f>(21+38)/1000</f>
        <v>5.8999999999999997E-2</v>
      </c>
      <c r="F412" s="127">
        <f t="shared" si="137"/>
        <v>6.0999999999999999E-2</v>
      </c>
      <c r="G412" s="3"/>
      <c r="H412" s="3">
        <f>F412*G412</f>
        <v>0</v>
      </c>
      <c r="I412" s="3"/>
      <c r="J412" s="3"/>
      <c r="K412" s="3"/>
      <c r="L412" s="3"/>
      <c r="M412" s="92">
        <f t="shared" si="136"/>
        <v>0</v>
      </c>
    </row>
    <row r="413" spans="1:13" s="20" customFormat="1" ht="19.95" customHeight="1">
      <c r="A413" s="91"/>
      <c r="B413" s="178" t="s">
        <v>32</v>
      </c>
      <c r="C413" s="161" t="s">
        <v>33</v>
      </c>
      <c r="D413" s="159" t="s">
        <v>13</v>
      </c>
      <c r="E413" s="124"/>
      <c r="F413" s="124">
        <f>F409</f>
        <v>0.81</v>
      </c>
      <c r="G413" s="3"/>
      <c r="H413" s="3">
        <f>G413*F413</f>
        <v>0</v>
      </c>
      <c r="I413" s="3"/>
      <c r="J413" s="3"/>
      <c r="K413" s="3"/>
      <c r="L413" s="3"/>
      <c r="M413" s="92">
        <f t="shared" si="136"/>
        <v>0</v>
      </c>
    </row>
    <row r="414" spans="1:13" s="20" customFormat="1" ht="21.6" customHeight="1">
      <c r="A414" s="91"/>
      <c r="B414" s="179" t="s">
        <v>22</v>
      </c>
      <c r="C414" s="161" t="s">
        <v>23</v>
      </c>
      <c r="D414" s="159" t="s">
        <v>13</v>
      </c>
      <c r="E414" s="124"/>
      <c r="F414" s="124">
        <f>F409</f>
        <v>0.81</v>
      </c>
      <c r="G414" s="3"/>
      <c r="H414" s="3">
        <f>G414*F414</f>
        <v>0</v>
      </c>
      <c r="I414" s="3"/>
      <c r="J414" s="3"/>
      <c r="K414" s="3"/>
      <c r="L414" s="3"/>
      <c r="M414" s="92">
        <f t="shared" si="136"/>
        <v>0</v>
      </c>
    </row>
    <row r="415" spans="1:13" s="20" customFormat="1" ht="49.95" customHeight="1">
      <c r="A415" s="91">
        <v>61</v>
      </c>
      <c r="B415" s="172" t="s">
        <v>197</v>
      </c>
      <c r="C415" s="163" t="s">
        <v>103</v>
      </c>
      <c r="D415" s="159" t="s">
        <v>13</v>
      </c>
      <c r="E415" s="124"/>
      <c r="F415" s="123">
        <f>12.63+1.15</f>
        <v>13.780000000000001</v>
      </c>
      <c r="G415" s="3"/>
      <c r="H415" s="3"/>
      <c r="I415" s="3"/>
      <c r="J415" s="3"/>
      <c r="K415" s="3"/>
      <c r="L415" s="3"/>
      <c r="M415" s="92"/>
    </row>
    <row r="416" spans="1:13" s="20" customFormat="1" ht="19.95" customHeight="1">
      <c r="A416" s="91"/>
      <c r="B416" s="161" t="s">
        <v>64</v>
      </c>
      <c r="C416" s="161" t="s">
        <v>67</v>
      </c>
      <c r="D416" s="159" t="s">
        <v>13</v>
      </c>
      <c r="E416" s="127">
        <v>1.0149999999999999</v>
      </c>
      <c r="F416" s="124">
        <f>E416*F415</f>
        <v>13.986699999999999</v>
      </c>
      <c r="G416" s="3"/>
      <c r="H416" s="3">
        <f>G416*F416</f>
        <v>0</v>
      </c>
      <c r="I416" s="3"/>
      <c r="J416" s="3"/>
      <c r="K416" s="3"/>
      <c r="L416" s="3">
        <f>K416*F416</f>
        <v>0</v>
      </c>
      <c r="M416" s="92">
        <f t="shared" ref="M416:M428" si="138">L416+J416+H416</f>
        <v>0</v>
      </c>
    </row>
    <row r="417" spans="1:13" s="20" customFormat="1" ht="19.2" customHeight="1">
      <c r="A417" s="91"/>
      <c r="B417" s="166" t="s">
        <v>154</v>
      </c>
      <c r="C417" s="176" t="s">
        <v>153</v>
      </c>
      <c r="D417" s="177" t="s">
        <v>19</v>
      </c>
      <c r="E417" s="128">
        <f>(653+28)/1000</f>
        <v>0.68100000000000005</v>
      </c>
      <c r="F417" s="127">
        <f t="shared" ref="F417:F419" si="139">ROUND(E417*1.03,3)</f>
        <v>0.70099999999999996</v>
      </c>
      <c r="G417" s="3"/>
      <c r="H417" s="3">
        <f>F417*G417</f>
        <v>0</v>
      </c>
      <c r="I417" s="3"/>
      <c r="J417" s="3"/>
      <c r="K417" s="3"/>
      <c r="L417" s="3"/>
      <c r="M417" s="92">
        <f t="shared" si="138"/>
        <v>0</v>
      </c>
    </row>
    <row r="418" spans="1:13" s="20" customFormat="1" ht="19.95" customHeight="1">
      <c r="A418" s="91"/>
      <c r="B418" s="161" t="s">
        <v>157</v>
      </c>
      <c r="C418" s="161" t="s">
        <v>158</v>
      </c>
      <c r="D418" s="177" t="s">
        <v>19</v>
      </c>
      <c r="E418" s="128">
        <f>(987+93)/1000</f>
        <v>1.08</v>
      </c>
      <c r="F418" s="127">
        <f t="shared" si="139"/>
        <v>1.1120000000000001</v>
      </c>
      <c r="G418" s="3"/>
      <c r="H418" s="3">
        <f>F418*G418</f>
        <v>0</v>
      </c>
      <c r="I418" s="3"/>
      <c r="J418" s="3"/>
      <c r="K418" s="3"/>
      <c r="L418" s="3"/>
      <c r="M418" s="92">
        <f t="shared" si="138"/>
        <v>0</v>
      </c>
    </row>
    <row r="419" spans="1:13" s="20" customFormat="1" ht="19.95" customHeight="1">
      <c r="A419" s="91"/>
      <c r="B419" s="176" t="s">
        <v>155</v>
      </c>
      <c r="C419" s="176" t="s">
        <v>156</v>
      </c>
      <c r="D419" s="177" t="s">
        <v>19</v>
      </c>
      <c r="E419" s="128">
        <f>(1115+144)/1000</f>
        <v>1.2589999999999999</v>
      </c>
      <c r="F419" s="127">
        <f t="shared" si="139"/>
        <v>1.2969999999999999</v>
      </c>
      <c r="G419" s="3"/>
      <c r="H419" s="3">
        <f>F419*G419</f>
        <v>0</v>
      </c>
      <c r="I419" s="3"/>
      <c r="J419" s="3"/>
      <c r="K419" s="3"/>
      <c r="L419" s="3"/>
      <c r="M419" s="92">
        <f t="shared" si="138"/>
        <v>0</v>
      </c>
    </row>
    <row r="420" spans="1:13" s="20" customFormat="1" ht="20.399999999999999" customHeight="1">
      <c r="A420" s="91"/>
      <c r="B420" s="161" t="s">
        <v>30</v>
      </c>
      <c r="C420" s="161" t="s">
        <v>31</v>
      </c>
      <c r="D420" s="159" t="s">
        <v>13</v>
      </c>
      <c r="E420" s="127"/>
      <c r="F420" s="127">
        <f>F415</f>
        <v>13.780000000000001</v>
      </c>
      <c r="G420" s="3"/>
      <c r="H420" s="3">
        <f>G420*F420</f>
        <v>0</v>
      </c>
      <c r="I420" s="3"/>
      <c r="J420" s="3"/>
      <c r="K420" s="3"/>
      <c r="L420" s="3"/>
      <c r="M420" s="92">
        <f t="shared" si="138"/>
        <v>0</v>
      </c>
    </row>
    <row r="421" spans="1:13" s="20" customFormat="1" ht="19.95" customHeight="1">
      <c r="A421" s="91"/>
      <c r="B421" s="179" t="s">
        <v>22</v>
      </c>
      <c r="C421" s="161" t="s">
        <v>23</v>
      </c>
      <c r="D421" s="159" t="s">
        <v>13</v>
      </c>
      <c r="E421" s="124"/>
      <c r="F421" s="124">
        <f>F415</f>
        <v>13.780000000000001</v>
      </c>
      <c r="G421" s="3"/>
      <c r="H421" s="3">
        <f>G421*F421</f>
        <v>0</v>
      </c>
      <c r="I421" s="3"/>
      <c r="J421" s="3"/>
      <c r="K421" s="3"/>
      <c r="L421" s="3"/>
      <c r="M421" s="92">
        <f t="shared" si="138"/>
        <v>0</v>
      </c>
    </row>
    <row r="422" spans="1:13" s="20" customFormat="1" ht="49.2" customHeight="1">
      <c r="A422" s="91">
        <v>62</v>
      </c>
      <c r="B422" s="162" t="s">
        <v>198</v>
      </c>
      <c r="C422" s="163" t="s">
        <v>110</v>
      </c>
      <c r="D422" s="159" t="s">
        <v>13</v>
      </c>
      <c r="E422" s="124"/>
      <c r="F422" s="123">
        <v>166.52</v>
      </c>
      <c r="G422" s="3"/>
      <c r="H422" s="3"/>
      <c r="I422" s="3"/>
      <c r="J422" s="3"/>
      <c r="K422" s="3"/>
      <c r="L422" s="3"/>
      <c r="M422" s="92"/>
    </row>
    <row r="423" spans="1:13" s="20" customFormat="1" ht="22.95" customHeight="1">
      <c r="A423" s="91"/>
      <c r="B423" s="179" t="s">
        <v>26</v>
      </c>
      <c r="C423" s="202" t="s">
        <v>27</v>
      </c>
      <c r="D423" s="174" t="s">
        <v>16</v>
      </c>
      <c r="E423" s="124">
        <f>F422/0.22</f>
        <v>756.90909090909099</v>
      </c>
      <c r="F423" s="123"/>
      <c r="G423" s="3"/>
      <c r="H423" s="3"/>
      <c r="I423" s="3"/>
      <c r="J423" s="3">
        <f>I423*E423</f>
        <v>0</v>
      </c>
      <c r="K423" s="3"/>
      <c r="L423" s="3"/>
      <c r="M423" s="92">
        <f t="shared" si="138"/>
        <v>0</v>
      </c>
    </row>
    <row r="424" spans="1:13" s="20" customFormat="1" ht="20.399999999999999" customHeight="1">
      <c r="A424" s="91"/>
      <c r="B424" s="161" t="s">
        <v>64</v>
      </c>
      <c r="C424" s="161" t="s">
        <v>67</v>
      </c>
      <c r="D424" s="159" t="s">
        <v>13</v>
      </c>
      <c r="E424" s="127">
        <v>1.0149999999999999</v>
      </c>
      <c r="F424" s="124">
        <f>E424*F422</f>
        <v>169.01779999999999</v>
      </c>
      <c r="G424" s="3"/>
      <c r="H424" s="3">
        <f>G424*F424</f>
        <v>0</v>
      </c>
      <c r="I424" s="3"/>
      <c r="J424" s="3"/>
      <c r="K424" s="3"/>
      <c r="L424" s="3">
        <f>K424*F424</f>
        <v>0</v>
      </c>
      <c r="M424" s="92">
        <f t="shared" si="138"/>
        <v>0</v>
      </c>
    </row>
    <row r="425" spans="1:13" s="20" customFormat="1" ht="19.95" customHeight="1">
      <c r="A425" s="91"/>
      <c r="B425" s="166" t="s">
        <v>154</v>
      </c>
      <c r="C425" s="176" t="s">
        <v>153</v>
      </c>
      <c r="D425" s="177" t="s">
        <v>19</v>
      </c>
      <c r="E425" s="128">
        <f>(2)/1000</f>
        <v>2E-3</v>
      </c>
      <c r="F425" s="127">
        <f t="shared" ref="F425:F427" si="140">ROUND(E425*1.03,3)</f>
        <v>2E-3</v>
      </c>
      <c r="G425" s="3"/>
      <c r="H425" s="3">
        <f>F425*G425</f>
        <v>0</v>
      </c>
      <c r="I425" s="3"/>
      <c r="J425" s="3"/>
      <c r="K425" s="3"/>
      <c r="L425" s="3"/>
      <c r="M425" s="92">
        <f t="shared" si="138"/>
        <v>0</v>
      </c>
    </row>
    <row r="426" spans="1:13" s="20" customFormat="1" ht="19.95" customHeight="1">
      <c r="A426" s="91"/>
      <c r="B426" s="166" t="s">
        <v>159</v>
      </c>
      <c r="C426" s="176" t="s">
        <v>160</v>
      </c>
      <c r="D426" s="177" t="s">
        <v>19</v>
      </c>
      <c r="E426" s="128">
        <f>(15265+1749+263+115+494+374+52+55+928+292+372+1186)/1000</f>
        <v>21.145</v>
      </c>
      <c r="F426" s="127">
        <f t="shared" si="140"/>
        <v>21.779</v>
      </c>
      <c r="G426" s="3"/>
      <c r="H426" s="3">
        <f>F426*G426</f>
        <v>0</v>
      </c>
      <c r="I426" s="3"/>
      <c r="J426" s="3"/>
      <c r="K426" s="3"/>
      <c r="L426" s="3"/>
      <c r="M426" s="92">
        <f t="shared" si="138"/>
        <v>0</v>
      </c>
    </row>
    <row r="427" spans="1:13" s="20" customFormat="1" ht="19.95" customHeight="1">
      <c r="A427" s="91"/>
      <c r="B427" s="166" t="s">
        <v>161</v>
      </c>
      <c r="C427" s="176" t="s">
        <v>162</v>
      </c>
      <c r="D427" s="177" t="s">
        <v>19</v>
      </c>
      <c r="E427" s="128">
        <f>(145+186+123+252+151+88+76+28+11)/1000</f>
        <v>1.06</v>
      </c>
      <c r="F427" s="127">
        <f t="shared" si="140"/>
        <v>1.0920000000000001</v>
      </c>
      <c r="G427" s="3"/>
      <c r="H427" s="3">
        <f>F427*G427</f>
        <v>0</v>
      </c>
      <c r="I427" s="3"/>
      <c r="J427" s="3"/>
      <c r="K427" s="3"/>
      <c r="L427" s="3"/>
      <c r="M427" s="92">
        <f t="shared" si="138"/>
        <v>0</v>
      </c>
    </row>
    <row r="428" spans="1:13" s="20" customFormat="1" ht="19.95" customHeight="1">
      <c r="A428" s="91"/>
      <c r="B428" s="206" t="s">
        <v>28</v>
      </c>
      <c r="C428" s="161" t="s">
        <v>29</v>
      </c>
      <c r="D428" s="159" t="s">
        <v>13</v>
      </c>
      <c r="E428" s="127"/>
      <c r="F428" s="124">
        <f>F422</f>
        <v>166.52</v>
      </c>
      <c r="G428" s="3"/>
      <c r="H428" s="3">
        <f t="shared" ref="H428" si="141">G428*F428</f>
        <v>0</v>
      </c>
      <c r="I428" s="3"/>
      <c r="J428" s="3"/>
      <c r="K428" s="3"/>
      <c r="L428" s="3"/>
      <c r="M428" s="92">
        <f t="shared" si="138"/>
        <v>0</v>
      </c>
    </row>
    <row r="429" spans="1:13" s="20" customFormat="1" ht="19.95" customHeight="1">
      <c r="A429" s="91"/>
      <c r="B429" s="179" t="s">
        <v>22</v>
      </c>
      <c r="C429" s="161" t="s">
        <v>23</v>
      </c>
      <c r="D429" s="159" t="s">
        <v>13</v>
      </c>
      <c r="E429" s="124"/>
      <c r="F429" s="124">
        <f>F422</f>
        <v>166.52</v>
      </c>
      <c r="G429" s="3"/>
      <c r="H429" s="3">
        <f>G429*F429</f>
        <v>0</v>
      </c>
      <c r="I429" s="3"/>
      <c r="J429" s="3"/>
      <c r="K429" s="3"/>
      <c r="L429" s="3"/>
      <c r="M429" s="92">
        <f>L429+J429+H429</f>
        <v>0</v>
      </c>
    </row>
    <row r="430" spans="1:13" s="13" customFormat="1" ht="21.6" customHeight="1">
      <c r="A430" s="61"/>
      <c r="B430" s="200" t="s">
        <v>104</v>
      </c>
      <c r="C430" s="200" t="s">
        <v>105</v>
      </c>
      <c r="D430" s="201"/>
      <c r="E430" s="134"/>
      <c r="F430" s="134"/>
      <c r="G430" s="112"/>
      <c r="H430" s="112"/>
      <c r="I430" s="112"/>
      <c r="J430" s="112"/>
      <c r="K430" s="112"/>
      <c r="L430" s="112"/>
      <c r="M430" s="113"/>
    </row>
    <row r="431" spans="1:13" s="20" customFormat="1" ht="19.95" customHeight="1">
      <c r="A431" s="14"/>
      <c r="B431" s="180" t="s">
        <v>52</v>
      </c>
      <c r="C431" s="181" t="s">
        <v>54</v>
      </c>
      <c r="D431" s="169"/>
      <c r="E431" s="125"/>
      <c r="F431" s="125"/>
      <c r="G431" s="4"/>
      <c r="H431" s="4"/>
      <c r="I431" s="4"/>
      <c r="J431" s="4"/>
      <c r="K431" s="4"/>
      <c r="L431" s="4"/>
      <c r="M431" s="94"/>
    </row>
    <row r="432" spans="1:13" s="20" customFormat="1" ht="48.6" customHeight="1">
      <c r="A432" s="108">
        <v>63</v>
      </c>
      <c r="B432" s="193" t="s">
        <v>199</v>
      </c>
      <c r="C432" s="188" t="s">
        <v>131</v>
      </c>
      <c r="D432" s="184" t="s">
        <v>13</v>
      </c>
      <c r="E432" s="131"/>
      <c r="F432" s="130">
        <v>26</v>
      </c>
      <c r="G432" s="6"/>
      <c r="H432" s="6"/>
      <c r="I432" s="6"/>
      <c r="J432" s="6"/>
      <c r="K432" s="6"/>
      <c r="L432" s="6"/>
      <c r="M432" s="109"/>
    </row>
    <row r="433" spans="1:13" s="20" customFormat="1" ht="19.95" customHeight="1">
      <c r="A433" s="108"/>
      <c r="B433" s="186" t="s">
        <v>64</v>
      </c>
      <c r="C433" s="186" t="s">
        <v>67</v>
      </c>
      <c r="D433" s="184" t="s">
        <v>13</v>
      </c>
      <c r="E433" s="132">
        <v>1.0149999999999999</v>
      </c>
      <c r="F433" s="131">
        <f>E433*F432</f>
        <v>26.389999999999997</v>
      </c>
      <c r="G433" s="6"/>
      <c r="H433" s="6">
        <f>G433*F433</f>
        <v>0</v>
      </c>
      <c r="I433" s="6"/>
      <c r="J433" s="6"/>
      <c r="K433" s="6"/>
      <c r="L433" s="6">
        <f>K433*F433</f>
        <v>0</v>
      </c>
      <c r="M433" s="109">
        <f t="shared" ref="M432:M443" si="142">L433+J433+H433</f>
        <v>0</v>
      </c>
    </row>
    <row r="434" spans="1:13" s="20" customFormat="1" ht="19.95" customHeight="1">
      <c r="A434" s="108"/>
      <c r="B434" s="192" t="s">
        <v>152</v>
      </c>
      <c r="C434" s="196" t="s">
        <v>151</v>
      </c>
      <c r="D434" s="197" t="s">
        <v>19</v>
      </c>
      <c r="E434" s="133">
        <f>(647+223+31)/1000</f>
        <v>0.90100000000000002</v>
      </c>
      <c r="F434" s="132">
        <f t="shared" ref="F434:F435" si="143">ROUND(E434*1.03,3)</f>
        <v>0.92800000000000005</v>
      </c>
      <c r="G434" s="6"/>
      <c r="H434" s="6">
        <f>F434*G434</f>
        <v>0</v>
      </c>
      <c r="I434" s="6"/>
      <c r="J434" s="6"/>
      <c r="K434" s="6"/>
      <c r="L434" s="6"/>
      <c r="M434" s="109">
        <f t="shared" si="142"/>
        <v>0</v>
      </c>
    </row>
    <row r="435" spans="1:13" s="20" customFormat="1" ht="19.95" customHeight="1">
      <c r="A435" s="108"/>
      <c r="B435" s="192" t="s">
        <v>159</v>
      </c>
      <c r="C435" s="196" t="s">
        <v>160</v>
      </c>
      <c r="D435" s="197" t="s">
        <v>19</v>
      </c>
      <c r="E435" s="133">
        <f>(1415+148)/1000</f>
        <v>1.5629999999999999</v>
      </c>
      <c r="F435" s="132">
        <f t="shared" si="143"/>
        <v>1.61</v>
      </c>
      <c r="G435" s="6"/>
      <c r="H435" s="6">
        <f>F435*G435</f>
        <v>0</v>
      </c>
      <c r="I435" s="6"/>
      <c r="J435" s="6"/>
      <c r="K435" s="6"/>
      <c r="L435" s="6"/>
      <c r="M435" s="109">
        <f t="shared" si="142"/>
        <v>0</v>
      </c>
    </row>
    <row r="436" spans="1:13" s="20" customFormat="1" ht="21.6" customHeight="1">
      <c r="A436" s="108"/>
      <c r="B436" s="198" t="s">
        <v>24</v>
      </c>
      <c r="C436" s="186" t="s">
        <v>25</v>
      </c>
      <c r="D436" s="184" t="s">
        <v>13</v>
      </c>
      <c r="E436" s="131"/>
      <c r="F436" s="131">
        <f>F432</f>
        <v>26</v>
      </c>
      <c r="G436" s="6"/>
      <c r="H436" s="6">
        <f t="shared" ref="H436:H437" si="144">G436*F436</f>
        <v>0</v>
      </c>
      <c r="I436" s="6"/>
      <c r="J436" s="6"/>
      <c r="K436" s="6"/>
      <c r="L436" s="6"/>
      <c r="M436" s="109">
        <f t="shared" si="142"/>
        <v>0</v>
      </c>
    </row>
    <row r="437" spans="1:13" s="20" customFormat="1" ht="21.6" customHeight="1">
      <c r="A437" s="108"/>
      <c r="B437" s="199" t="s">
        <v>22</v>
      </c>
      <c r="C437" s="186" t="s">
        <v>23</v>
      </c>
      <c r="D437" s="184" t="s">
        <v>13</v>
      </c>
      <c r="E437" s="131"/>
      <c r="F437" s="131">
        <f>F432</f>
        <v>26</v>
      </c>
      <c r="G437" s="6"/>
      <c r="H437" s="6">
        <f t="shared" si="144"/>
        <v>0</v>
      </c>
      <c r="I437" s="6"/>
      <c r="J437" s="6"/>
      <c r="K437" s="6"/>
      <c r="L437" s="6"/>
      <c r="M437" s="109">
        <f t="shared" si="142"/>
        <v>0</v>
      </c>
    </row>
    <row r="438" spans="1:13" s="20" customFormat="1" ht="33" customHeight="1">
      <c r="A438" s="108">
        <v>64</v>
      </c>
      <c r="B438" s="187" t="s">
        <v>200</v>
      </c>
      <c r="C438" s="188" t="s">
        <v>106</v>
      </c>
      <c r="D438" s="184" t="s">
        <v>13</v>
      </c>
      <c r="E438" s="131"/>
      <c r="F438" s="130">
        <v>0.81</v>
      </c>
      <c r="G438" s="6"/>
      <c r="H438" s="6"/>
      <c r="I438" s="6"/>
      <c r="J438" s="6"/>
      <c r="K438" s="6"/>
      <c r="L438" s="6">
        <f>K438*F438</f>
        <v>0</v>
      </c>
      <c r="M438" s="109">
        <f t="shared" si="142"/>
        <v>0</v>
      </c>
    </row>
    <row r="439" spans="1:13" s="20" customFormat="1" ht="19.95" customHeight="1">
      <c r="A439" s="108"/>
      <c r="B439" s="186" t="s">
        <v>64</v>
      </c>
      <c r="C439" s="186" t="s">
        <v>67</v>
      </c>
      <c r="D439" s="184" t="s">
        <v>13</v>
      </c>
      <c r="E439" s="132">
        <v>1.0149999999999999</v>
      </c>
      <c r="F439" s="131">
        <f>E439*F438</f>
        <v>0.82214999999999994</v>
      </c>
      <c r="G439" s="6"/>
      <c r="H439" s="6">
        <f>G439*F439</f>
        <v>0</v>
      </c>
      <c r="I439" s="6"/>
      <c r="J439" s="6"/>
      <c r="K439" s="6"/>
      <c r="L439" s="6">
        <f>K439*F439</f>
        <v>0</v>
      </c>
      <c r="M439" s="109">
        <f t="shared" si="142"/>
        <v>0</v>
      </c>
    </row>
    <row r="440" spans="1:13" s="20" customFormat="1" ht="19.95" customHeight="1">
      <c r="A440" s="108"/>
      <c r="B440" s="192" t="s">
        <v>154</v>
      </c>
      <c r="C440" s="196" t="s">
        <v>153</v>
      </c>
      <c r="D440" s="197" t="s">
        <v>19</v>
      </c>
      <c r="E440" s="133">
        <f>(36+10)/1000</f>
        <v>4.5999999999999999E-2</v>
      </c>
      <c r="F440" s="132">
        <f t="shared" ref="F440:F441" si="145">ROUND(E440*1.03,3)</f>
        <v>4.7E-2</v>
      </c>
      <c r="G440" s="6"/>
      <c r="H440" s="6">
        <f>G440*F440</f>
        <v>0</v>
      </c>
      <c r="I440" s="6"/>
      <c r="J440" s="6"/>
      <c r="K440" s="6"/>
      <c r="L440" s="6"/>
      <c r="M440" s="109">
        <f t="shared" si="142"/>
        <v>0</v>
      </c>
    </row>
    <row r="441" spans="1:13" s="20" customFormat="1" ht="19.95" customHeight="1">
      <c r="A441" s="108"/>
      <c r="B441" s="192" t="s">
        <v>161</v>
      </c>
      <c r="C441" s="196" t="s">
        <v>162</v>
      </c>
      <c r="D441" s="197" t="s">
        <v>19</v>
      </c>
      <c r="E441" s="133">
        <f>(21+38)/1000</f>
        <v>5.8999999999999997E-2</v>
      </c>
      <c r="F441" s="132">
        <f t="shared" si="145"/>
        <v>6.0999999999999999E-2</v>
      </c>
      <c r="G441" s="6"/>
      <c r="H441" s="6">
        <f>F441*G441</f>
        <v>0</v>
      </c>
      <c r="I441" s="6"/>
      <c r="J441" s="6"/>
      <c r="K441" s="6"/>
      <c r="L441" s="6"/>
      <c r="M441" s="109">
        <f t="shared" si="142"/>
        <v>0</v>
      </c>
    </row>
    <row r="442" spans="1:13" s="20" customFormat="1" ht="19.95" customHeight="1">
      <c r="A442" s="108"/>
      <c r="B442" s="198" t="s">
        <v>32</v>
      </c>
      <c r="C442" s="186" t="s">
        <v>33</v>
      </c>
      <c r="D442" s="184" t="s">
        <v>13</v>
      </c>
      <c r="E442" s="131"/>
      <c r="F442" s="131">
        <f>F438</f>
        <v>0.81</v>
      </c>
      <c r="G442" s="6"/>
      <c r="H442" s="6">
        <f>G442*F442</f>
        <v>0</v>
      </c>
      <c r="I442" s="6"/>
      <c r="J442" s="6"/>
      <c r="K442" s="6"/>
      <c r="L442" s="6"/>
      <c r="M442" s="109">
        <f t="shared" si="142"/>
        <v>0</v>
      </c>
    </row>
    <row r="443" spans="1:13" s="20" customFormat="1" ht="21.6" customHeight="1">
      <c r="A443" s="108"/>
      <c r="B443" s="199" t="s">
        <v>22</v>
      </c>
      <c r="C443" s="186" t="s">
        <v>23</v>
      </c>
      <c r="D443" s="184" t="s">
        <v>13</v>
      </c>
      <c r="E443" s="131"/>
      <c r="F443" s="131">
        <f>F438</f>
        <v>0.81</v>
      </c>
      <c r="G443" s="6"/>
      <c r="H443" s="6">
        <f>G443*F443</f>
        <v>0</v>
      </c>
      <c r="I443" s="6"/>
      <c r="J443" s="6"/>
      <c r="K443" s="6"/>
      <c r="L443" s="6"/>
      <c r="M443" s="109">
        <f t="shared" si="142"/>
        <v>0</v>
      </c>
    </row>
    <row r="444" spans="1:13" s="20" customFormat="1" ht="49.95" customHeight="1">
      <c r="A444" s="108">
        <v>65</v>
      </c>
      <c r="B444" s="193" t="s">
        <v>201</v>
      </c>
      <c r="C444" s="188" t="s">
        <v>133</v>
      </c>
      <c r="D444" s="184" t="s">
        <v>13</v>
      </c>
      <c r="E444" s="131"/>
      <c r="F444" s="130">
        <f>1.15+12.63</f>
        <v>13.780000000000001</v>
      </c>
      <c r="G444" s="6"/>
      <c r="H444" s="6"/>
      <c r="I444" s="6"/>
      <c r="J444" s="6"/>
      <c r="K444" s="6"/>
      <c r="L444" s="6"/>
      <c r="M444" s="109"/>
    </row>
    <row r="445" spans="1:13" s="20" customFormat="1" ht="19.95" customHeight="1">
      <c r="A445" s="108"/>
      <c r="B445" s="186" t="s">
        <v>64</v>
      </c>
      <c r="C445" s="186" t="s">
        <v>67</v>
      </c>
      <c r="D445" s="184" t="s">
        <v>13</v>
      </c>
      <c r="E445" s="132">
        <v>1.0149999999999999</v>
      </c>
      <c r="F445" s="131">
        <f>E445*F444</f>
        <v>13.986699999999999</v>
      </c>
      <c r="G445" s="6"/>
      <c r="H445" s="6">
        <f>G445*F445</f>
        <v>0</v>
      </c>
      <c r="I445" s="6"/>
      <c r="J445" s="6"/>
      <c r="K445" s="6"/>
      <c r="L445" s="6">
        <f>K445*F445</f>
        <v>0</v>
      </c>
      <c r="M445" s="109">
        <f t="shared" ref="M445:M450" si="146">L445+J445+H445</f>
        <v>0</v>
      </c>
    </row>
    <row r="446" spans="1:13" s="20" customFormat="1" ht="19.2" customHeight="1">
      <c r="A446" s="108"/>
      <c r="B446" s="192" t="s">
        <v>154</v>
      </c>
      <c r="C446" s="196" t="s">
        <v>153</v>
      </c>
      <c r="D446" s="197" t="s">
        <v>19</v>
      </c>
      <c r="E446" s="133">
        <f>(28+653)/1000</f>
        <v>0.68100000000000005</v>
      </c>
      <c r="F446" s="132">
        <f t="shared" ref="F446:F448" si="147">ROUND(E446*1.03,3)</f>
        <v>0.70099999999999996</v>
      </c>
      <c r="G446" s="6"/>
      <c r="H446" s="6">
        <f>F446*G446</f>
        <v>0</v>
      </c>
      <c r="I446" s="6"/>
      <c r="J446" s="6"/>
      <c r="K446" s="6"/>
      <c r="L446" s="6"/>
      <c r="M446" s="109">
        <f t="shared" si="146"/>
        <v>0</v>
      </c>
    </row>
    <row r="447" spans="1:13" s="20" customFormat="1" ht="19.95" customHeight="1">
      <c r="A447" s="108"/>
      <c r="B447" s="186" t="s">
        <v>157</v>
      </c>
      <c r="C447" s="186" t="s">
        <v>158</v>
      </c>
      <c r="D447" s="197" t="s">
        <v>19</v>
      </c>
      <c r="E447" s="133">
        <f>(716+93)/1000</f>
        <v>0.80900000000000005</v>
      </c>
      <c r="F447" s="132">
        <f t="shared" si="147"/>
        <v>0.83299999999999996</v>
      </c>
      <c r="G447" s="6"/>
      <c r="H447" s="6">
        <f>F447*G447</f>
        <v>0</v>
      </c>
      <c r="I447" s="6"/>
      <c r="J447" s="6"/>
      <c r="K447" s="6"/>
      <c r="L447" s="6"/>
      <c r="M447" s="109">
        <f t="shared" si="146"/>
        <v>0</v>
      </c>
    </row>
    <row r="448" spans="1:13" s="20" customFormat="1" ht="19.95" customHeight="1">
      <c r="A448" s="108"/>
      <c r="B448" s="196" t="s">
        <v>155</v>
      </c>
      <c r="C448" s="196" t="s">
        <v>156</v>
      </c>
      <c r="D448" s="197" t="s">
        <v>19</v>
      </c>
      <c r="E448" s="133">
        <f>(1115+144)/1000</f>
        <v>1.2589999999999999</v>
      </c>
      <c r="F448" s="132">
        <f t="shared" si="147"/>
        <v>1.2969999999999999</v>
      </c>
      <c r="G448" s="6"/>
      <c r="H448" s="6">
        <f>F448*G448</f>
        <v>0</v>
      </c>
      <c r="I448" s="6"/>
      <c r="J448" s="6"/>
      <c r="K448" s="6"/>
      <c r="L448" s="6"/>
      <c r="M448" s="109">
        <f t="shared" si="146"/>
        <v>0</v>
      </c>
    </row>
    <row r="449" spans="1:13" s="20" customFormat="1" ht="20.399999999999999" customHeight="1">
      <c r="A449" s="108"/>
      <c r="B449" s="186" t="s">
        <v>30</v>
      </c>
      <c r="C449" s="186" t="s">
        <v>31</v>
      </c>
      <c r="D449" s="184" t="s">
        <v>13</v>
      </c>
      <c r="E449" s="132"/>
      <c r="F449" s="132">
        <f>F444</f>
        <v>13.780000000000001</v>
      </c>
      <c r="G449" s="6"/>
      <c r="H449" s="6">
        <f>G449*F449</f>
        <v>0</v>
      </c>
      <c r="I449" s="6"/>
      <c r="J449" s="6"/>
      <c r="K449" s="6"/>
      <c r="L449" s="6"/>
      <c r="M449" s="109">
        <f t="shared" si="146"/>
        <v>0</v>
      </c>
    </row>
    <row r="450" spans="1:13" s="20" customFormat="1" ht="19.95" customHeight="1">
      <c r="A450" s="108"/>
      <c r="B450" s="199" t="s">
        <v>22</v>
      </c>
      <c r="C450" s="186" t="s">
        <v>23</v>
      </c>
      <c r="D450" s="184" t="s">
        <v>13</v>
      </c>
      <c r="E450" s="131"/>
      <c r="F450" s="131">
        <f>F444</f>
        <v>13.780000000000001</v>
      </c>
      <c r="G450" s="6"/>
      <c r="H450" s="6">
        <f>G450*F450</f>
        <v>0</v>
      </c>
      <c r="I450" s="6"/>
      <c r="J450" s="6"/>
      <c r="K450" s="6"/>
      <c r="L450" s="6"/>
      <c r="M450" s="109">
        <f t="shared" si="146"/>
        <v>0</v>
      </c>
    </row>
    <row r="451" spans="1:13" s="20" customFormat="1" ht="49.2" customHeight="1">
      <c r="A451" s="108">
        <v>66</v>
      </c>
      <c r="B451" s="187" t="s">
        <v>202</v>
      </c>
      <c r="C451" s="188" t="s">
        <v>107</v>
      </c>
      <c r="D451" s="184" t="s">
        <v>13</v>
      </c>
      <c r="E451" s="131"/>
      <c r="F451" s="130">
        <v>166.52</v>
      </c>
      <c r="G451" s="6"/>
      <c r="H451" s="6"/>
      <c r="I451" s="6"/>
      <c r="J451" s="6"/>
      <c r="K451" s="6"/>
      <c r="L451" s="6"/>
      <c r="M451" s="109"/>
    </row>
    <row r="452" spans="1:13" s="20" customFormat="1" ht="22.95" customHeight="1">
      <c r="A452" s="108"/>
      <c r="B452" s="199" t="s">
        <v>26</v>
      </c>
      <c r="C452" s="204" t="s">
        <v>27</v>
      </c>
      <c r="D452" s="195" t="s">
        <v>16</v>
      </c>
      <c r="E452" s="131">
        <f>F451/0.22</f>
        <v>756.90909090909099</v>
      </c>
      <c r="F452" s="130"/>
      <c r="G452" s="6"/>
      <c r="H452" s="6"/>
      <c r="I452" s="6"/>
      <c r="J452" s="6">
        <f>I452*E452</f>
        <v>0</v>
      </c>
      <c r="K452" s="6"/>
      <c r="L452" s="6"/>
      <c r="M452" s="109">
        <f t="shared" ref="M452:M458" si="148">L452+J452+H452</f>
        <v>0</v>
      </c>
    </row>
    <row r="453" spans="1:13" s="20" customFormat="1" ht="20.399999999999999" customHeight="1">
      <c r="A453" s="108"/>
      <c r="B453" s="186" t="s">
        <v>64</v>
      </c>
      <c r="C453" s="186" t="s">
        <v>67</v>
      </c>
      <c r="D453" s="184" t="s">
        <v>13</v>
      </c>
      <c r="E453" s="132">
        <v>1.0149999999999999</v>
      </c>
      <c r="F453" s="131">
        <f>E453*F451</f>
        <v>169.01779999999999</v>
      </c>
      <c r="G453" s="6"/>
      <c r="H453" s="6">
        <f>G453*F453</f>
        <v>0</v>
      </c>
      <c r="I453" s="6"/>
      <c r="J453" s="6"/>
      <c r="K453" s="6"/>
      <c r="L453" s="6">
        <f>K453*F453</f>
        <v>0</v>
      </c>
      <c r="M453" s="109">
        <f t="shared" si="148"/>
        <v>0</v>
      </c>
    </row>
    <row r="454" spans="1:13" s="20" customFormat="1" ht="19.2" customHeight="1">
      <c r="A454" s="108"/>
      <c r="B454" s="192" t="s">
        <v>154</v>
      </c>
      <c r="C454" s="196" t="s">
        <v>153</v>
      </c>
      <c r="D454" s="197" t="s">
        <v>19</v>
      </c>
      <c r="E454" s="133">
        <f>2/1000</f>
        <v>2E-3</v>
      </c>
      <c r="F454" s="132">
        <f t="shared" ref="F454:F456" si="149">ROUND(E454*1.03,3)</f>
        <v>2E-3</v>
      </c>
      <c r="G454" s="6"/>
      <c r="H454" s="6">
        <f>F454*G454</f>
        <v>0</v>
      </c>
      <c r="I454" s="6"/>
      <c r="J454" s="6"/>
      <c r="K454" s="6"/>
      <c r="L454" s="6"/>
      <c r="M454" s="109">
        <f t="shared" si="148"/>
        <v>0</v>
      </c>
    </row>
    <row r="455" spans="1:13" s="20" customFormat="1" ht="19.95" customHeight="1">
      <c r="A455" s="108"/>
      <c r="B455" s="192" t="s">
        <v>159</v>
      </c>
      <c r="C455" s="196" t="s">
        <v>160</v>
      </c>
      <c r="D455" s="197" t="s">
        <v>19</v>
      </c>
      <c r="E455" s="133">
        <f>(15238+1443+263+9+494+374+52+55+928+292+372+1186)/1000</f>
        <v>20.706</v>
      </c>
      <c r="F455" s="132">
        <f t="shared" si="149"/>
        <v>21.327000000000002</v>
      </c>
      <c r="G455" s="6"/>
      <c r="H455" s="6">
        <f>F455*G455</f>
        <v>0</v>
      </c>
      <c r="I455" s="6"/>
      <c r="J455" s="6"/>
      <c r="K455" s="6"/>
      <c r="L455" s="6"/>
      <c r="M455" s="109">
        <f t="shared" si="148"/>
        <v>0</v>
      </c>
    </row>
    <row r="456" spans="1:13" s="20" customFormat="1" ht="19.95" customHeight="1">
      <c r="A456" s="108"/>
      <c r="B456" s="192" t="s">
        <v>161</v>
      </c>
      <c r="C456" s="196" t="s">
        <v>162</v>
      </c>
      <c r="D456" s="197" t="s">
        <v>19</v>
      </c>
      <c r="E456" s="133">
        <f>(145+186+123+252+151+88+76+28+11)/1000</f>
        <v>1.06</v>
      </c>
      <c r="F456" s="132">
        <f t="shared" si="149"/>
        <v>1.0920000000000001</v>
      </c>
      <c r="G456" s="6"/>
      <c r="H456" s="6">
        <f>F456*G456</f>
        <v>0</v>
      </c>
      <c r="I456" s="6"/>
      <c r="J456" s="6"/>
      <c r="K456" s="6"/>
      <c r="L456" s="6"/>
      <c r="M456" s="109">
        <f t="shared" si="148"/>
        <v>0</v>
      </c>
    </row>
    <row r="457" spans="1:13" s="20" customFormat="1" ht="19.95" customHeight="1">
      <c r="A457" s="108"/>
      <c r="B457" s="207" t="s">
        <v>28</v>
      </c>
      <c r="C457" s="186" t="s">
        <v>29</v>
      </c>
      <c r="D457" s="184" t="s">
        <v>13</v>
      </c>
      <c r="E457" s="132"/>
      <c r="F457" s="131">
        <f>F451</f>
        <v>166.52</v>
      </c>
      <c r="G457" s="6"/>
      <c r="H457" s="6">
        <f t="shared" ref="H457:H458" si="150">G457*F457</f>
        <v>0</v>
      </c>
      <c r="I457" s="6"/>
      <c r="J457" s="6"/>
      <c r="K457" s="6"/>
      <c r="L457" s="6"/>
      <c r="M457" s="109">
        <f t="shared" si="148"/>
        <v>0</v>
      </c>
    </row>
    <row r="458" spans="1:13" s="20" customFormat="1" ht="19.95" customHeight="1">
      <c r="A458" s="108"/>
      <c r="B458" s="199" t="s">
        <v>22</v>
      </c>
      <c r="C458" s="186" t="s">
        <v>23</v>
      </c>
      <c r="D458" s="184" t="s">
        <v>13</v>
      </c>
      <c r="E458" s="131"/>
      <c r="F458" s="131">
        <f>F451</f>
        <v>166.52</v>
      </c>
      <c r="G458" s="6"/>
      <c r="H458" s="6">
        <f t="shared" si="150"/>
        <v>0</v>
      </c>
      <c r="I458" s="6"/>
      <c r="J458" s="6"/>
      <c r="K458" s="6"/>
      <c r="L458" s="6"/>
      <c r="M458" s="109">
        <f t="shared" si="148"/>
        <v>0</v>
      </c>
    </row>
    <row r="459" spans="1:13" s="13" customFormat="1" ht="21.6" customHeight="1">
      <c r="A459" s="61"/>
      <c r="B459" s="200" t="s">
        <v>111</v>
      </c>
      <c r="C459" s="200" t="s">
        <v>112</v>
      </c>
      <c r="D459" s="201"/>
      <c r="E459" s="134"/>
      <c r="F459" s="134"/>
      <c r="G459" s="112"/>
      <c r="H459" s="112"/>
      <c r="I459" s="112"/>
      <c r="J459" s="112"/>
      <c r="K459" s="112"/>
      <c r="L459" s="112"/>
      <c r="M459" s="113"/>
    </row>
    <row r="460" spans="1:13" s="20" customFormat="1" ht="19.95" customHeight="1">
      <c r="A460" s="14"/>
      <c r="B460" s="180" t="s">
        <v>51</v>
      </c>
      <c r="C460" s="181" t="s">
        <v>53</v>
      </c>
      <c r="D460" s="169"/>
      <c r="E460" s="125"/>
      <c r="F460" s="125"/>
      <c r="G460" s="4"/>
      <c r="H460" s="4"/>
      <c r="I460" s="4"/>
      <c r="J460" s="4"/>
      <c r="K460" s="4"/>
      <c r="L460" s="4"/>
      <c r="M460" s="94"/>
    </row>
    <row r="461" spans="1:13" s="20" customFormat="1" ht="49.2" customHeight="1">
      <c r="A461" s="91">
        <v>67</v>
      </c>
      <c r="B461" s="162" t="s">
        <v>203</v>
      </c>
      <c r="C461" s="163" t="s">
        <v>139</v>
      </c>
      <c r="D461" s="159" t="s">
        <v>13</v>
      </c>
      <c r="E461" s="124"/>
      <c r="F461" s="123">
        <v>11</v>
      </c>
      <c r="G461" s="3"/>
      <c r="H461" s="3"/>
      <c r="I461" s="3"/>
      <c r="J461" s="3"/>
      <c r="K461" s="3"/>
      <c r="L461" s="3"/>
      <c r="M461" s="92"/>
    </row>
    <row r="462" spans="1:13" s="20" customFormat="1" ht="22.95" customHeight="1">
      <c r="A462" s="91"/>
      <c r="B462" s="179" t="s">
        <v>26</v>
      </c>
      <c r="C462" s="202" t="s">
        <v>27</v>
      </c>
      <c r="D462" s="174" t="s">
        <v>16</v>
      </c>
      <c r="E462" s="124">
        <f>F461/0.15</f>
        <v>73.333333333333343</v>
      </c>
      <c r="F462" s="123"/>
      <c r="G462" s="3"/>
      <c r="H462" s="3"/>
      <c r="I462" s="3"/>
      <c r="J462" s="3">
        <f>I462*E462</f>
        <v>0</v>
      </c>
      <c r="K462" s="3"/>
      <c r="L462" s="3"/>
      <c r="M462" s="92">
        <f t="shared" ref="M462:M467" si="151">L462+J462+H462</f>
        <v>0</v>
      </c>
    </row>
    <row r="463" spans="1:13" s="20" customFormat="1" ht="20.399999999999999" customHeight="1">
      <c r="A463" s="91"/>
      <c r="B463" s="175" t="s">
        <v>64</v>
      </c>
      <c r="C463" s="161" t="s">
        <v>67</v>
      </c>
      <c r="D463" s="159" t="s">
        <v>13</v>
      </c>
      <c r="E463" s="127">
        <v>1.0149999999999999</v>
      </c>
      <c r="F463" s="124">
        <f>E463*F461</f>
        <v>11.164999999999999</v>
      </c>
      <c r="G463" s="3"/>
      <c r="H463" s="3">
        <f>G463*F463</f>
        <v>0</v>
      </c>
      <c r="I463" s="3"/>
      <c r="J463" s="3"/>
      <c r="K463" s="3"/>
      <c r="L463" s="3">
        <f>K463*F463</f>
        <v>0</v>
      </c>
      <c r="M463" s="92">
        <f t="shared" si="151"/>
        <v>0</v>
      </c>
    </row>
    <row r="464" spans="1:13" s="20" customFormat="1" ht="19.95" customHeight="1">
      <c r="A464" s="91"/>
      <c r="B464" s="166" t="s">
        <v>152</v>
      </c>
      <c r="C464" s="176" t="s">
        <v>151</v>
      </c>
      <c r="D464" s="177" t="s">
        <v>19</v>
      </c>
      <c r="E464" s="127">
        <f>188/1000</f>
        <v>0.188</v>
      </c>
      <c r="F464" s="127">
        <f t="shared" ref="F464:F465" si="152">ROUND(E464*1.03,3)</f>
        <v>0.19400000000000001</v>
      </c>
      <c r="G464" s="3"/>
      <c r="H464" s="3">
        <f>F464*G464</f>
        <v>0</v>
      </c>
      <c r="I464" s="3"/>
      <c r="J464" s="3"/>
      <c r="K464" s="3"/>
      <c r="L464" s="3"/>
      <c r="M464" s="92">
        <f t="shared" ref="M464" si="153">L464+J464+H464</f>
        <v>0</v>
      </c>
    </row>
    <row r="465" spans="1:13" s="20" customFormat="1" ht="19.95" customHeight="1">
      <c r="A465" s="91"/>
      <c r="B465" s="166" t="s">
        <v>159</v>
      </c>
      <c r="C465" s="176" t="s">
        <v>160</v>
      </c>
      <c r="D465" s="177" t="s">
        <v>19</v>
      </c>
      <c r="E465" s="128">
        <f>(2901+104+464+375)/1000</f>
        <v>3.8439999999999999</v>
      </c>
      <c r="F465" s="127">
        <f t="shared" si="152"/>
        <v>3.9590000000000001</v>
      </c>
      <c r="G465" s="3"/>
      <c r="H465" s="3">
        <f>F465*G465</f>
        <v>0</v>
      </c>
      <c r="I465" s="3"/>
      <c r="J465" s="3"/>
      <c r="K465" s="3"/>
      <c r="L465" s="3"/>
      <c r="M465" s="92">
        <f t="shared" si="151"/>
        <v>0</v>
      </c>
    </row>
    <row r="466" spans="1:13" s="20" customFormat="1" ht="19.95" customHeight="1">
      <c r="A466" s="91"/>
      <c r="B466" s="206" t="s">
        <v>28</v>
      </c>
      <c r="C466" s="161" t="s">
        <v>29</v>
      </c>
      <c r="D466" s="159" t="s">
        <v>13</v>
      </c>
      <c r="E466" s="127"/>
      <c r="F466" s="124">
        <f>F461</f>
        <v>11</v>
      </c>
      <c r="G466" s="3"/>
      <c r="H466" s="3">
        <f t="shared" ref="H466:H467" si="154">G466*F466</f>
        <v>0</v>
      </c>
      <c r="I466" s="3"/>
      <c r="J466" s="3"/>
      <c r="K466" s="3"/>
      <c r="L466" s="3"/>
      <c r="M466" s="92">
        <f t="shared" si="151"/>
        <v>0</v>
      </c>
    </row>
    <row r="467" spans="1:13" s="20" customFormat="1" ht="19.95" customHeight="1">
      <c r="A467" s="91"/>
      <c r="B467" s="179" t="s">
        <v>22</v>
      </c>
      <c r="C467" s="161" t="s">
        <v>23</v>
      </c>
      <c r="D467" s="159" t="s">
        <v>13</v>
      </c>
      <c r="E467" s="124"/>
      <c r="F467" s="124">
        <f>F461</f>
        <v>11</v>
      </c>
      <c r="G467" s="3"/>
      <c r="H467" s="3">
        <f t="shared" si="154"/>
        <v>0</v>
      </c>
      <c r="I467" s="3"/>
      <c r="J467" s="3"/>
      <c r="K467" s="3"/>
      <c r="L467" s="3"/>
      <c r="M467" s="92">
        <f t="shared" si="151"/>
        <v>0</v>
      </c>
    </row>
    <row r="468" spans="1:13" s="13" customFormat="1" ht="21.6" customHeight="1">
      <c r="A468" s="61"/>
      <c r="B468" s="200" t="s">
        <v>108</v>
      </c>
      <c r="C468" s="200" t="s">
        <v>109</v>
      </c>
      <c r="D468" s="201"/>
      <c r="E468" s="134"/>
      <c r="F468" s="134"/>
      <c r="G468" s="112"/>
      <c r="H468" s="112"/>
      <c r="I468" s="112"/>
      <c r="J468" s="112"/>
      <c r="K468" s="112"/>
      <c r="L468" s="112"/>
      <c r="M468" s="113"/>
    </row>
    <row r="469" spans="1:13" s="20" customFormat="1" ht="19.95" customHeight="1">
      <c r="A469" s="14"/>
      <c r="B469" s="180" t="s">
        <v>52</v>
      </c>
      <c r="C469" s="181" t="s">
        <v>54</v>
      </c>
      <c r="D469" s="169"/>
      <c r="E469" s="125"/>
      <c r="F469" s="125"/>
      <c r="G469" s="4"/>
      <c r="H469" s="4"/>
      <c r="I469" s="4"/>
      <c r="J469" s="4"/>
      <c r="K469" s="4"/>
      <c r="L469" s="4"/>
      <c r="M469" s="94"/>
    </row>
    <row r="470" spans="1:13" s="20" customFormat="1" ht="49.2" customHeight="1">
      <c r="A470" s="108">
        <v>68</v>
      </c>
      <c r="B470" s="187" t="s">
        <v>204</v>
      </c>
      <c r="C470" s="188" t="s">
        <v>135</v>
      </c>
      <c r="D470" s="184" t="s">
        <v>13</v>
      </c>
      <c r="E470" s="131"/>
      <c r="F470" s="130">
        <v>11</v>
      </c>
      <c r="G470" s="6"/>
      <c r="H470" s="6"/>
      <c r="I470" s="6"/>
      <c r="J470" s="6"/>
      <c r="K470" s="6"/>
      <c r="L470" s="6"/>
      <c r="M470" s="109"/>
    </row>
    <row r="471" spans="1:13" s="20" customFormat="1" ht="22.95" customHeight="1">
      <c r="A471" s="108"/>
      <c r="B471" s="199" t="s">
        <v>26</v>
      </c>
      <c r="C471" s="204" t="s">
        <v>27</v>
      </c>
      <c r="D471" s="195" t="s">
        <v>16</v>
      </c>
      <c r="E471" s="131">
        <f>F470/0.15</f>
        <v>73.333333333333343</v>
      </c>
      <c r="F471" s="130"/>
      <c r="G471" s="6"/>
      <c r="H471" s="6"/>
      <c r="I471" s="6"/>
      <c r="J471" s="6">
        <f>I471*E471</f>
        <v>0</v>
      </c>
      <c r="K471" s="6"/>
      <c r="L471" s="6"/>
      <c r="M471" s="109">
        <f t="shared" ref="M471:M476" si="155">L471+J471+H471</f>
        <v>0</v>
      </c>
    </row>
    <row r="472" spans="1:13" s="20" customFormat="1" ht="20.399999999999999" customHeight="1">
      <c r="A472" s="108"/>
      <c r="B472" s="186" t="s">
        <v>64</v>
      </c>
      <c r="C472" s="186" t="s">
        <v>67</v>
      </c>
      <c r="D472" s="184" t="s">
        <v>13</v>
      </c>
      <c r="E472" s="132">
        <v>1.0149999999999999</v>
      </c>
      <c r="F472" s="131">
        <f>E472*F470</f>
        <v>11.164999999999999</v>
      </c>
      <c r="G472" s="6"/>
      <c r="H472" s="6">
        <f>G472*F472</f>
        <v>0</v>
      </c>
      <c r="I472" s="6"/>
      <c r="J472" s="6"/>
      <c r="K472" s="6"/>
      <c r="L472" s="6">
        <f>K472*F472</f>
        <v>0</v>
      </c>
      <c r="M472" s="109">
        <f t="shared" si="155"/>
        <v>0</v>
      </c>
    </row>
    <row r="473" spans="1:13" s="20" customFormat="1" ht="19.95" customHeight="1">
      <c r="A473" s="108"/>
      <c r="B473" s="192" t="s">
        <v>152</v>
      </c>
      <c r="C473" s="196" t="s">
        <v>151</v>
      </c>
      <c r="D473" s="197" t="s">
        <v>19</v>
      </c>
      <c r="E473" s="133">
        <f>188/1000</f>
        <v>0.188</v>
      </c>
      <c r="F473" s="132">
        <f t="shared" ref="F473:F474" si="156">ROUND(E473*1.03,3)</f>
        <v>0.19400000000000001</v>
      </c>
      <c r="G473" s="6"/>
      <c r="H473" s="6">
        <f>F473*G473</f>
        <v>0</v>
      </c>
      <c r="I473" s="6"/>
      <c r="J473" s="6"/>
      <c r="K473" s="6"/>
      <c r="L473" s="6"/>
      <c r="M473" s="109">
        <f t="shared" si="155"/>
        <v>0</v>
      </c>
    </row>
    <row r="474" spans="1:13" s="20" customFormat="1" ht="19.95" customHeight="1">
      <c r="A474" s="108"/>
      <c r="B474" s="192" t="s">
        <v>159</v>
      </c>
      <c r="C474" s="196" t="s">
        <v>160</v>
      </c>
      <c r="D474" s="197" t="s">
        <v>19</v>
      </c>
      <c r="E474" s="133">
        <f>(2881+103+464+375)/1000</f>
        <v>3.823</v>
      </c>
      <c r="F474" s="132">
        <f t="shared" si="156"/>
        <v>3.9380000000000002</v>
      </c>
      <c r="G474" s="6"/>
      <c r="H474" s="6">
        <f>F474*G474</f>
        <v>0</v>
      </c>
      <c r="I474" s="6"/>
      <c r="J474" s="6"/>
      <c r="K474" s="6"/>
      <c r="L474" s="6"/>
      <c r="M474" s="109">
        <f t="shared" si="155"/>
        <v>0</v>
      </c>
    </row>
    <row r="475" spans="1:13" s="20" customFormat="1" ht="19.95" customHeight="1">
      <c r="A475" s="108"/>
      <c r="B475" s="207" t="s">
        <v>28</v>
      </c>
      <c r="C475" s="186" t="s">
        <v>29</v>
      </c>
      <c r="D475" s="184" t="s">
        <v>13</v>
      </c>
      <c r="E475" s="132"/>
      <c r="F475" s="131">
        <f>F470</f>
        <v>11</v>
      </c>
      <c r="G475" s="6"/>
      <c r="H475" s="6">
        <f t="shared" ref="H475:H476" si="157">G475*F475</f>
        <v>0</v>
      </c>
      <c r="I475" s="6"/>
      <c r="J475" s="6"/>
      <c r="K475" s="6"/>
      <c r="L475" s="6"/>
      <c r="M475" s="109">
        <f t="shared" si="155"/>
        <v>0</v>
      </c>
    </row>
    <row r="476" spans="1:13" s="20" customFormat="1" ht="19.95" customHeight="1">
      <c r="A476" s="108"/>
      <c r="B476" s="199" t="s">
        <v>22</v>
      </c>
      <c r="C476" s="186" t="s">
        <v>23</v>
      </c>
      <c r="D476" s="184" t="s">
        <v>13</v>
      </c>
      <c r="E476" s="131"/>
      <c r="F476" s="131">
        <f>F470</f>
        <v>11</v>
      </c>
      <c r="G476" s="6"/>
      <c r="H476" s="6">
        <f t="shared" si="157"/>
        <v>0</v>
      </c>
      <c r="I476" s="6"/>
      <c r="J476" s="6"/>
      <c r="K476" s="6"/>
      <c r="L476" s="6"/>
      <c r="M476" s="109">
        <f t="shared" si="155"/>
        <v>0</v>
      </c>
    </row>
    <row r="477" spans="1:13" s="13" customFormat="1" ht="21.6" customHeight="1">
      <c r="A477" s="61"/>
      <c r="B477" s="200" t="s">
        <v>144</v>
      </c>
      <c r="C477" s="200" t="s">
        <v>145</v>
      </c>
      <c r="D477" s="201"/>
      <c r="E477" s="134"/>
      <c r="F477" s="134"/>
      <c r="G477" s="112"/>
      <c r="H477" s="112"/>
      <c r="I477" s="112"/>
      <c r="J477" s="112"/>
      <c r="K477" s="112"/>
      <c r="L477" s="112"/>
      <c r="M477" s="113"/>
    </row>
    <row r="478" spans="1:13" s="20" customFormat="1" ht="19.95" customHeight="1">
      <c r="A478" s="14"/>
      <c r="B478" s="180" t="s">
        <v>52</v>
      </c>
      <c r="C478" s="181" t="s">
        <v>54</v>
      </c>
      <c r="D478" s="169"/>
      <c r="E478" s="125"/>
      <c r="F478" s="125"/>
      <c r="G478" s="4"/>
      <c r="H478" s="4"/>
      <c r="I478" s="4"/>
      <c r="J478" s="4"/>
      <c r="K478" s="4"/>
      <c r="L478" s="4"/>
      <c r="M478" s="94"/>
    </row>
    <row r="479" spans="1:13" s="20" customFormat="1" ht="33" customHeight="1">
      <c r="A479" s="108">
        <v>69</v>
      </c>
      <c r="B479" s="187" t="s">
        <v>205</v>
      </c>
      <c r="C479" s="188" t="s">
        <v>137</v>
      </c>
      <c r="D479" s="184" t="s">
        <v>13</v>
      </c>
      <c r="E479" s="131"/>
      <c r="F479" s="130">
        <f>4.2+6.9+0.8</f>
        <v>11.900000000000002</v>
      </c>
      <c r="G479" s="6"/>
      <c r="H479" s="6"/>
      <c r="I479" s="6"/>
      <c r="J479" s="6"/>
      <c r="K479" s="6"/>
      <c r="L479" s="6"/>
      <c r="M479" s="109"/>
    </row>
    <row r="480" spans="1:13" s="20" customFormat="1" ht="33" customHeight="1">
      <c r="A480" s="108"/>
      <c r="B480" s="199" t="s">
        <v>116</v>
      </c>
      <c r="C480" s="204" t="s">
        <v>121</v>
      </c>
      <c r="D480" s="184" t="s">
        <v>13</v>
      </c>
      <c r="E480" s="130">
        <v>1</v>
      </c>
      <c r="F480" s="135">
        <f>E480*F479</f>
        <v>11.900000000000002</v>
      </c>
      <c r="G480" s="6"/>
      <c r="H480" s="6"/>
      <c r="I480" s="6"/>
      <c r="J480" s="6">
        <f>I480*F480</f>
        <v>0</v>
      </c>
      <c r="K480" s="6"/>
      <c r="L480" s="6"/>
      <c r="M480" s="109">
        <f t="shared" ref="M479:M486" si="158">L480+J480+H480</f>
        <v>0</v>
      </c>
    </row>
    <row r="481" spans="1:13" s="20" customFormat="1" ht="19.95" customHeight="1">
      <c r="A481" s="108"/>
      <c r="B481" s="186" t="s">
        <v>64</v>
      </c>
      <c r="C481" s="186" t="s">
        <v>67</v>
      </c>
      <c r="D481" s="184" t="s">
        <v>13</v>
      </c>
      <c r="E481" s="132">
        <v>1.0149999999999999</v>
      </c>
      <c r="F481" s="131">
        <f>E481*F479</f>
        <v>12.078500000000002</v>
      </c>
      <c r="G481" s="6"/>
      <c r="H481" s="6">
        <f>G481*F481</f>
        <v>0</v>
      </c>
      <c r="I481" s="6"/>
      <c r="J481" s="6"/>
      <c r="K481" s="6"/>
      <c r="L481" s="6">
        <f>K481*F481</f>
        <v>0</v>
      </c>
      <c r="M481" s="109">
        <f t="shared" si="158"/>
        <v>0</v>
      </c>
    </row>
    <row r="482" spans="1:13" s="20" customFormat="1" ht="19.95" customHeight="1">
      <c r="A482" s="108"/>
      <c r="B482" s="192" t="s">
        <v>154</v>
      </c>
      <c r="C482" s="196" t="s">
        <v>153</v>
      </c>
      <c r="D482" s="197" t="s">
        <v>19</v>
      </c>
      <c r="E482" s="133">
        <f>(30+118+9+2)/1000</f>
        <v>0.159</v>
      </c>
      <c r="F482" s="132">
        <f t="shared" ref="F482:F484" si="159">ROUND(E482*1.03,3)</f>
        <v>0.16400000000000001</v>
      </c>
      <c r="G482" s="6"/>
      <c r="H482" s="6">
        <f>G482*F482</f>
        <v>0</v>
      </c>
      <c r="I482" s="6"/>
      <c r="J482" s="6"/>
      <c r="K482" s="6"/>
      <c r="L482" s="6"/>
      <c r="M482" s="109">
        <f t="shared" si="158"/>
        <v>0</v>
      </c>
    </row>
    <row r="483" spans="1:13" s="20" customFormat="1" ht="19.95" customHeight="1">
      <c r="A483" s="108"/>
      <c r="B483" s="192" t="s">
        <v>152</v>
      </c>
      <c r="C483" s="196" t="s">
        <v>151</v>
      </c>
      <c r="D483" s="197" t="s">
        <v>19</v>
      </c>
      <c r="E483" s="133">
        <f>(234+262+20)/1000</f>
        <v>0.51600000000000001</v>
      </c>
      <c r="F483" s="132">
        <f t="shared" si="159"/>
        <v>0.53100000000000003</v>
      </c>
      <c r="G483" s="6"/>
      <c r="H483" s="6">
        <f>F483*G483</f>
        <v>0</v>
      </c>
      <c r="I483" s="6"/>
      <c r="J483" s="6"/>
      <c r="K483" s="6"/>
      <c r="L483" s="6"/>
      <c r="M483" s="109">
        <f t="shared" si="158"/>
        <v>0</v>
      </c>
    </row>
    <row r="484" spans="1:13" s="20" customFormat="1" ht="19.95" customHeight="1">
      <c r="A484" s="108"/>
      <c r="B484" s="192" t="s">
        <v>159</v>
      </c>
      <c r="C484" s="196" t="s">
        <v>160</v>
      </c>
      <c r="D484" s="197" t="s">
        <v>19</v>
      </c>
      <c r="E484" s="133">
        <f>(479+155+53+25)/1000</f>
        <v>0.71199999999999997</v>
      </c>
      <c r="F484" s="132">
        <f t="shared" si="159"/>
        <v>0.73299999999999998</v>
      </c>
      <c r="G484" s="6"/>
      <c r="H484" s="6">
        <f>F484*G484</f>
        <v>0</v>
      </c>
      <c r="I484" s="6"/>
      <c r="J484" s="6"/>
      <c r="K484" s="6"/>
      <c r="L484" s="6"/>
      <c r="M484" s="109">
        <f t="shared" ref="M484" si="160">L484+J484+H484</f>
        <v>0</v>
      </c>
    </row>
    <row r="485" spans="1:13" s="20" customFormat="1" ht="19.95" customHeight="1">
      <c r="A485" s="108"/>
      <c r="B485" s="198" t="s">
        <v>229</v>
      </c>
      <c r="C485" s="186" t="s">
        <v>230</v>
      </c>
      <c r="D485" s="184" t="s">
        <v>13</v>
      </c>
      <c r="E485" s="131"/>
      <c r="F485" s="131">
        <f>F479</f>
        <v>11.900000000000002</v>
      </c>
      <c r="G485" s="6"/>
      <c r="H485" s="6">
        <f>G485*F485</f>
        <v>0</v>
      </c>
      <c r="I485" s="6"/>
      <c r="J485" s="6"/>
      <c r="K485" s="6"/>
      <c r="L485" s="6"/>
      <c r="M485" s="109">
        <f t="shared" si="158"/>
        <v>0</v>
      </c>
    </row>
    <row r="486" spans="1:13" s="20" customFormat="1" ht="21.6" customHeight="1">
      <c r="A486" s="108"/>
      <c r="B486" s="199" t="s">
        <v>22</v>
      </c>
      <c r="C486" s="186" t="s">
        <v>23</v>
      </c>
      <c r="D486" s="184" t="s">
        <v>13</v>
      </c>
      <c r="E486" s="131"/>
      <c r="F486" s="131">
        <f>F479</f>
        <v>11.900000000000002</v>
      </c>
      <c r="G486" s="6"/>
      <c r="H486" s="6">
        <f>G486*F486</f>
        <v>0</v>
      </c>
      <c r="I486" s="6"/>
      <c r="J486" s="6"/>
      <c r="K486" s="6"/>
      <c r="L486" s="6"/>
      <c r="M486" s="109">
        <f t="shared" si="158"/>
        <v>0</v>
      </c>
    </row>
    <row r="487" spans="1:13" s="20" customFormat="1" ht="19.95" customHeight="1">
      <c r="A487" s="14"/>
      <c r="B487" s="180" t="s">
        <v>51</v>
      </c>
      <c r="C487" s="181" t="s">
        <v>53</v>
      </c>
      <c r="D487" s="169"/>
      <c r="E487" s="125"/>
      <c r="F487" s="125"/>
      <c r="G487" s="4"/>
      <c r="H487" s="4"/>
      <c r="I487" s="4"/>
      <c r="J487" s="4"/>
      <c r="K487" s="4"/>
      <c r="L487" s="4"/>
      <c r="M487" s="94"/>
    </row>
    <row r="488" spans="1:13" s="20" customFormat="1" ht="49.2" customHeight="1">
      <c r="A488" s="91">
        <v>70</v>
      </c>
      <c r="B488" s="162" t="s">
        <v>206</v>
      </c>
      <c r="C488" s="163" t="s">
        <v>143</v>
      </c>
      <c r="D488" s="159" t="s">
        <v>13</v>
      </c>
      <c r="E488" s="124"/>
      <c r="F488" s="123">
        <f>4.2+6.9+0.8</f>
        <v>11.900000000000002</v>
      </c>
      <c r="G488" s="3"/>
      <c r="H488" s="3"/>
      <c r="I488" s="3"/>
      <c r="J488" s="3"/>
      <c r="K488" s="3"/>
      <c r="L488" s="3"/>
      <c r="M488" s="92"/>
    </row>
    <row r="489" spans="1:13" s="20" customFormat="1" ht="22.95" customHeight="1">
      <c r="A489" s="91"/>
      <c r="B489" s="179" t="s">
        <v>116</v>
      </c>
      <c r="C489" s="202" t="s">
        <v>121</v>
      </c>
      <c r="D489" s="159" t="s">
        <v>13</v>
      </c>
      <c r="E489" s="124">
        <v>1</v>
      </c>
      <c r="F489" s="123">
        <f>E489*F488</f>
        <v>11.900000000000002</v>
      </c>
      <c r="G489" s="3"/>
      <c r="H489" s="3"/>
      <c r="I489" s="3"/>
      <c r="J489" s="3">
        <f>I489*F489</f>
        <v>0</v>
      </c>
      <c r="K489" s="3"/>
      <c r="L489" s="3"/>
      <c r="M489" s="92">
        <f t="shared" ref="M489:M495" si="161">L489+J489+H489</f>
        <v>0</v>
      </c>
    </row>
    <row r="490" spans="1:13" s="20" customFormat="1" ht="20.399999999999999" customHeight="1">
      <c r="A490" s="91"/>
      <c r="B490" s="161" t="s">
        <v>64</v>
      </c>
      <c r="C490" s="161" t="s">
        <v>67</v>
      </c>
      <c r="D490" s="159" t="s">
        <v>13</v>
      </c>
      <c r="E490" s="127">
        <v>1.0149999999999999</v>
      </c>
      <c r="F490" s="124">
        <f>E490*F488</f>
        <v>12.078500000000002</v>
      </c>
      <c r="G490" s="3"/>
      <c r="H490" s="3">
        <f>G490*F490</f>
        <v>0</v>
      </c>
      <c r="I490" s="3"/>
      <c r="J490" s="3"/>
      <c r="K490" s="3"/>
      <c r="L490" s="3">
        <f>K490*F490</f>
        <v>0</v>
      </c>
      <c r="M490" s="92">
        <f t="shared" si="161"/>
        <v>0</v>
      </c>
    </row>
    <row r="491" spans="1:13" s="20" customFormat="1" ht="19.95" customHeight="1">
      <c r="A491" s="91"/>
      <c r="B491" s="166" t="s">
        <v>154</v>
      </c>
      <c r="C491" s="176" t="s">
        <v>153</v>
      </c>
      <c r="D491" s="177" t="s">
        <v>19</v>
      </c>
      <c r="E491" s="128">
        <f>(67+118+9+2)/1000</f>
        <v>0.19600000000000001</v>
      </c>
      <c r="F491" s="127">
        <f t="shared" ref="F491:F493" si="162">ROUND(E491*1.03,3)</f>
        <v>0.20200000000000001</v>
      </c>
      <c r="G491" s="3"/>
      <c r="H491" s="3">
        <f>G491*F491</f>
        <v>0</v>
      </c>
      <c r="I491" s="3"/>
      <c r="J491" s="3"/>
      <c r="K491" s="3"/>
      <c r="L491" s="3"/>
      <c r="M491" s="92">
        <f t="shared" si="161"/>
        <v>0</v>
      </c>
    </row>
    <row r="492" spans="1:13" s="20" customFormat="1" ht="19.95" customHeight="1">
      <c r="A492" s="91"/>
      <c r="B492" s="166" t="s">
        <v>152</v>
      </c>
      <c r="C492" s="176" t="s">
        <v>151</v>
      </c>
      <c r="D492" s="177" t="s">
        <v>19</v>
      </c>
      <c r="E492" s="128">
        <f>(234+262+20)/1000</f>
        <v>0.51600000000000001</v>
      </c>
      <c r="F492" s="127">
        <f t="shared" si="162"/>
        <v>0.53100000000000003</v>
      </c>
      <c r="G492" s="3"/>
      <c r="H492" s="3">
        <f>F492*G492</f>
        <v>0</v>
      </c>
      <c r="I492" s="3"/>
      <c r="J492" s="3"/>
      <c r="K492" s="3"/>
      <c r="L492" s="3"/>
      <c r="M492" s="92">
        <f t="shared" si="161"/>
        <v>0</v>
      </c>
    </row>
    <row r="493" spans="1:13" s="20" customFormat="1" ht="19.95" customHeight="1">
      <c r="A493" s="91"/>
      <c r="B493" s="166" t="s">
        <v>159</v>
      </c>
      <c r="C493" s="176" t="s">
        <v>160</v>
      </c>
      <c r="D493" s="177" t="s">
        <v>19</v>
      </c>
      <c r="E493" s="128">
        <f>(479+155+53+25)/1000</f>
        <v>0.71199999999999997</v>
      </c>
      <c r="F493" s="127">
        <f t="shared" si="162"/>
        <v>0.73299999999999998</v>
      </c>
      <c r="G493" s="3"/>
      <c r="H493" s="3">
        <f>F493*G493</f>
        <v>0</v>
      </c>
      <c r="I493" s="3"/>
      <c r="J493" s="3"/>
      <c r="K493" s="3"/>
      <c r="L493" s="3"/>
      <c r="M493" s="92">
        <f t="shared" ref="M493" si="163">L493+J493+H493</f>
        <v>0</v>
      </c>
    </row>
    <row r="494" spans="1:13" s="20" customFormat="1" ht="19.95" customHeight="1">
      <c r="A494" s="91"/>
      <c r="B494" s="161" t="s">
        <v>229</v>
      </c>
      <c r="C494" s="161" t="s">
        <v>230</v>
      </c>
      <c r="D494" s="177" t="s">
        <v>13</v>
      </c>
      <c r="E494" s="128"/>
      <c r="F494" s="127">
        <f>F488</f>
        <v>11.900000000000002</v>
      </c>
      <c r="G494" s="3"/>
      <c r="H494" s="3">
        <f>G494*F494</f>
        <v>0</v>
      </c>
      <c r="I494" s="3"/>
      <c r="J494" s="3"/>
      <c r="K494" s="3"/>
      <c r="L494" s="3"/>
      <c r="M494" s="92">
        <f t="shared" si="161"/>
        <v>0</v>
      </c>
    </row>
    <row r="495" spans="1:13" s="20" customFormat="1" ht="19.95" customHeight="1">
      <c r="A495" s="91"/>
      <c r="B495" s="206" t="s">
        <v>22</v>
      </c>
      <c r="C495" s="161" t="s">
        <v>23</v>
      </c>
      <c r="D495" s="159" t="s">
        <v>13</v>
      </c>
      <c r="E495" s="127"/>
      <c r="F495" s="124">
        <f>F488</f>
        <v>11.900000000000002</v>
      </c>
      <c r="G495" s="3"/>
      <c r="H495" s="3">
        <f>G495*F495</f>
        <v>0</v>
      </c>
      <c r="I495" s="3"/>
      <c r="J495" s="3"/>
      <c r="K495" s="3"/>
      <c r="L495" s="3"/>
      <c r="M495" s="92">
        <f t="shared" si="161"/>
        <v>0</v>
      </c>
    </row>
    <row r="496" spans="1:13" s="13" customFormat="1" ht="21.6" customHeight="1">
      <c r="A496" s="61"/>
      <c r="B496" s="200" t="s">
        <v>216</v>
      </c>
      <c r="C496" s="200" t="s">
        <v>217</v>
      </c>
      <c r="D496" s="201"/>
      <c r="E496" s="134"/>
      <c r="F496" s="134"/>
      <c r="G496" s="112"/>
      <c r="H496" s="112"/>
      <c r="I496" s="112"/>
      <c r="J496" s="112"/>
      <c r="K496" s="112"/>
      <c r="L496" s="112"/>
      <c r="M496" s="113"/>
    </row>
    <row r="497" spans="1:13" s="20" customFormat="1" ht="19.95" customHeight="1">
      <c r="A497" s="14"/>
      <c r="B497" s="180" t="s">
        <v>52</v>
      </c>
      <c r="C497" s="181" t="s">
        <v>54</v>
      </c>
      <c r="D497" s="169"/>
      <c r="E497" s="125"/>
      <c r="F497" s="125"/>
      <c r="G497" s="4"/>
      <c r="H497" s="4"/>
      <c r="I497" s="4"/>
      <c r="J497" s="4"/>
      <c r="K497" s="4"/>
      <c r="L497" s="4"/>
      <c r="M497" s="94"/>
    </row>
    <row r="498" spans="1:13" s="20" customFormat="1" ht="33" customHeight="1">
      <c r="A498" s="108">
        <v>71</v>
      </c>
      <c r="B498" s="187" t="s">
        <v>218</v>
      </c>
      <c r="C498" s="188" t="s">
        <v>219</v>
      </c>
      <c r="D498" s="184" t="s">
        <v>13</v>
      </c>
      <c r="E498" s="131"/>
      <c r="F498" s="130">
        <f>E499*0.25</f>
        <v>12.75</v>
      </c>
      <c r="G498" s="6"/>
      <c r="H498" s="6"/>
      <c r="I498" s="6"/>
      <c r="J498" s="6"/>
      <c r="K498" s="6"/>
      <c r="L498" s="6"/>
      <c r="M498" s="109"/>
    </row>
    <row r="499" spans="1:13" s="20" customFormat="1" ht="33" customHeight="1">
      <c r="A499" s="108"/>
      <c r="B499" s="199" t="s">
        <v>220</v>
      </c>
      <c r="C499" s="204" t="s">
        <v>221</v>
      </c>
      <c r="D499" s="195" t="s">
        <v>16</v>
      </c>
      <c r="E499" s="130">
        <v>51</v>
      </c>
      <c r="F499" s="135"/>
      <c r="G499" s="6"/>
      <c r="H499" s="6"/>
      <c r="I499" s="6"/>
      <c r="J499" s="6">
        <f>I499*E499</f>
        <v>0</v>
      </c>
      <c r="K499" s="6"/>
      <c r="L499" s="6"/>
      <c r="M499" s="109">
        <f t="shared" ref="M499:M504" si="164">L499+J499+H499</f>
        <v>0</v>
      </c>
    </row>
    <row r="500" spans="1:13" s="20" customFormat="1" ht="19.95" customHeight="1">
      <c r="A500" s="108"/>
      <c r="B500" s="186" t="s">
        <v>64</v>
      </c>
      <c r="C500" s="186" t="s">
        <v>67</v>
      </c>
      <c r="D500" s="184" t="s">
        <v>13</v>
      </c>
      <c r="E500" s="132">
        <v>1.0149999999999999</v>
      </c>
      <c r="F500" s="131">
        <f>E500*F498</f>
        <v>12.941249999999998</v>
      </c>
      <c r="G500" s="6"/>
      <c r="H500" s="6">
        <f>G500*F500</f>
        <v>0</v>
      </c>
      <c r="I500" s="6"/>
      <c r="J500" s="6"/>
      <c r="K500" s="6"/>
      <c r="L500" s="6">
        <f>K500*F500</f>
        <v>0</v>
      </c>
      <c r="M500" s="109">
        <f t="shared" si="164"/>
        <v>0</v>
      </c>
    </row>
    <row r="501" spans="1:13" s="20" customFormat="1" ht="19.95" customHeight="1">
      <c r="A501" s="108"/>
      <c r="B501" s="192" t="s">
        <v>154</v>
      </c>
      <c r="C501" s="196" t="s">
        <v>153</v>
      </c>
      <c r="D501" s="197" t="s">
        <v>19</v>
      </c>
      <c r="E501" s="133">
        <v>3.5000000000000003E-2</v>
      </c>
      <c r="F501" s="132">
        <f t="shared" ref="F501:F502" si="165">ROUND(E501*1.03,3)</f>
        <v>3.5999999999999997E-2</v>
      </c>
      <c r="G501" s="6"/>
      <c r="H501" s="6">
        <f>G501*F501</f>
        <v>0</v>
      </c>
      <c r="I501" s="6"/>
      <c r="J501" s="6"/>
      <c r="K501" s="6"/>
      <c r="L501" s="6"/>
      <c r="M501" s="109">
        <f t="shared" si="164"/>
        <v>0</v>
      </c>
    </row>
    <row r="502" spans="1:13" s="20" customFormat="1" ht="19.95" customHeight="1">
      <c r="A502" s="108"/>
      <c r="B502" s="192" t="s">
        <v>159</v>
      </c>
      <c r="C502" s="196" t="s">
        <v>160</v>
      </c>
      <c r="D502" s="197" t="s">
        <v>19</v>
      </c>
      <c r="E502" s="133">
        <v>0.88400000000000001</v>
      </c>
      <c r="F502" s="132">
        <f t="shared" si="165"/>
        <v>0.91100000000000003</v>
      </c>
      <c r="G502" s="6"/>
      <c r="H502" s="6">
        <f>F502*G502</f>
        <v>0</v>
      </c>
      <c r="I502" s="6"/>
      <c r="J502" s="6"/>
      <c r="K502" s="6"/>
      <c r="L502" s="6"/>
      <c r="M502" s="109">
        <f t="shared" si="164"/>
        <v>0</v>
      </c>
    </row>
    <row r="503" spans="1:13" s="20" customFormat="1" ht="19.95" customHeight="1">
      <c r="A503" s="108"/>
      <c r="B503" s="198" t="s">
        <v>222</v>
      </c>
      <c r="C503" s="186" t="s">
        <v>223</v>
      </c>
      <c r="D503" s="184" t="s">
        <v>13</v>
      </c>
      <c r="E503" s="131"/>
      <c r="F503" s="131">
        <f>F498</f>
        <v>12.75</v>
      </c>
      <c r="G503" s="6"/>
      <c r="H503" s="6">
        <f>G503*F503</f>
        <v>0</v>
      </c>
      <c r="I503" s="6"/>
      <c r="J503" s="6"/>
      <c r="K503" s="6"/>
      <c r="L503" s="6"/>
      <c r="M503" s="109">
        <f t="shared" si="164"/>
        <v>0</v>
      </c>
    </row>
    <row r="504" spans="1:13" s="20" customFormat="1" ht="21.6" customHeight="1">
      <c r="A504" s="108"/>
      <c r="B504" s="199" t="s">
        <v>22</v>
      </c>
      <c r="C504" s="186" t="s">
        <v>23</v>
      </c>
      <c r="D504" s="184" t="s">
        <v>13</v>
      </c>
      <c r="E504" s="131"/>
      <c r="F504" s="131">
        <f>F498</f>
        <v>12.75</v>
      </c>
      <c r="G504" s="6"/>
      <c r="H504" s="6">
        <f>G504*F504</f>
        <v>0</v>
      </c>
      <c r="I504" s="6"/>
      <c r="J504" s="6"/>
      <c r="K504" s="6"/>
      <c r="L504" s="6"/>
      <c r="M504" s="109">
        <f t="shared" si="164"/>
        <v>0</v>
      </c>
    </row>
    <row r="505" spans="1:13" s="20" customFormat="1" ht="33" customHeight="1">
      <c r="A505" s="108">
        <v>72</v>
      </c>
      <c r="B505" s="187" t="s">
        <v>224</v>
      </c>
      <c r="C505" s="188" t="s">
        <v>225</v>
      </c>
      <c r="D505" s="184" t="s">
        <v>13</v>
      </c>
      <c r="E505" s="131"/>
      <c r="F505" s="130">
        <v>5.15</v>
      </c>
      <c r="G505" s="114"/>
      <c r="H505" s="6"/>
      <c r="I505" s="6"/>
      <c r="J505" s="6"/>
      <c r="K505" s="6"/>
      <c r="L505" s="6"/>
      <c r="M505" s="109"/>
    </row>
    <row r="506" spans="1:13" s="20" customFormat="1" ht="19.95" customHeight="1">
      <c r="A506" s="108"/>
      <c r="B506" s="186" t="s">
        <v>64</v>
      </c>
      <c r="C506" s="186" t="s">
        <v>67</v>
      </c>
      <c r="D506" s="184" t="s">
        <v>13</v>
      </c>
      <c r="E506" s="132">
        <v>1.0149999999999999</v>
      </c>
      <c r="F506" s="131">
        <f>E506*F505</f>
        <v>5.2272499999999997</v>
      </c>
      <c r="G506" s="114"/>
      <c r="H506" s="6">
        <f>G506*F506</f>
        <v>0</v>
      </c>
      <c r="I506" s="6"/>
      <c r="J506" s="6"/>
      <c r="K506" s="6"/>
      <c r="L506" s="6">
        <f>K506*F506</f>
        <v>0</v>
      </c>
      <c r="M506" s="109">
        <f>L506+J506+H506</f>
        <v>0</v>
      </c>
    </row>
    <row r="507" spans="1:13" s="20" customFormat="1" ht="19.95" customHeight="1">
      <c r="A507" s="108"/>
      <c r="B507" s="192" t="s">
        <v>154</v>
      </c>
      <c r="C507" s="196" t="s">
        <v>153</v>
      </c>
      <c r="D507" s="197" t="s">
        <v>19</v>
      </c>
      <c r="E507" s="133">
        <v>8.0000000000000002E-3</v>
      </c>
      <c r="F507" s="132">
        <f t="shared" ref="F507:F508" si="166">ROUND(E507*1.03,3)</f>
        <v>8.0000000000000002E-3</v>
      </c>
      <c r="G507" s="6"/>
      <c r="H507" s="6">
        <f>G507*F507</f>
        <v>0</v>
      </c>
      <c r="I507" s="6"/>
      <c r="J507" s="6"/>
      <c r="K507" s="6"/>
      <c r="L507" s="6"/>
      <c r="M507" s="109">
        <f>L507+J507+H507</f>
        <v>0</v>
      </c>
    </row>
    <row r="508" spans="1:13" s="20" customFormat="1" ht="19.95" customHeight="1">
      <c r="A508" s="108"/>
      <c r="B508" s="192" t="s">
        <v>152</v>
      </c>
      <c r="C508" s="196" t="s">
        <v>151</v>
      </c>
      <c r="D508" s="197" t="s">
        <v>19</v>
      </c>
      <c r="E508" s="133">
        <v>0.41199999999999998</v>
      </c>
      <c r="F508" s="132">
        <f t="shared" si="166"/>
        <v>0.42399999999999999</v>
      </c>
      <c r="G508" s="6"/>
      <c r="H508" s="6">
        <f>F508*G508</f>
        <v>0</v>
      </c>
      <c r="I508" s="6"/>
      <c r="J508" s="6"/>
      <c r="K508" s="6"/>
      <c r="L508" s="6"/>
      <c r="M508" s="109">
        <f>L508+J508+H508</f>
        <v>0</v>
      </c>
    </row>
    <row r="509" spans="1:13" s="20" customFormat="1" ht="19.95" customHeight="1">
      <c r="A509" s="108"/>
      <c r="B509" s="189" t="s">
        <v>226</v>
      </c>
      <c r="C509" s="186" t="s">
        <v>227</v>
      </c>
      <c r="D509" s="184" t="s">
        <v>13</v>
      </c>
      <c r="E509" s="131"/>
      <c r="F509" s="131">
        <f>F505</f>
        <v>5.15</v>
      </c>
      <c r="G509" s="6"/>
      <c r="H509" s="6">
        <f>G509*F509</f>
        <v>0</v>
      </c>
      <c r="I509" s="6"/>
      <c r="J509" s="6"/>
      <c r="K509" s="6"/>
      <c r="L509" s="6"/>
      <c r="M509" s="109">
        <f>L509+J509+H509</f>
        <v>0</v>
      </c>
    </row>
    <row r="510" spans="1:13" s="20" customFormat="1" ht="21.6" customHeight="1">
      <c r="A510" s="108"/>
      <c r="B510" s="199" t="s">
        <v>22</v>
      </c>
      <c r="C510" s="186" t="s">
        <v>23</v>
      </c>
      <c r="D510" s="184" t="s">
        <v>13</v>
      </c>
      <c r="E510" s="131"/>
      <c r="F510" s="131">
        <f>F505</f>
        <v>5.15</v>
      </c>
      <c r="G510" s="6"/>
      <c r="H510" s="6">
        <f>G510*F510</f>
        <v>0</v>
      </c>
      <c r="I510" s="6"/>
      <c r="J510" s="6"/>
      <c r="K510" s="6"/>
      <c r="L510" s="6"/>
      <c r="M510" s="109">
        <f>L510+J510+H510</f>
        <v>0</v>
      </c>
    </row>
    <row r="511" spans="1:13" s="20" customFormat="1" ht="19.95" customHeight="1">
      <c r="A511" s="14"/>
      <c r="B511" s="180" t="s">
        <v>51</v>
      </c>
      <c r="C511" s="181" t="s">
        <v>53</v>
      </c>
      <c r="D511" s="169"/>
      <c r="E511" s="125"/>
      <c r="F511" s="125"/>
      <c r="G511" s="4"/>
      <c r="H511" s="4"/>
      <c r="I511" s="4"/>
      <c r="J511" s="4"/>
      <c r="K511" s="4"/>
      <c r="L511" s="4"/>
      <c r="M511" s="94"/>
    </row>
    <row r="512" spans="1:13" s="20" customFormat="1" ht="49.2" customHeight="1">
      <c r="A512" s="91">
        <v>73</v>
      </c>
      <c r="B512" s="162" t="s">
        <v>218</v>
      </c>
      <c r="C512" s="163" t="s">
        <v>219</v>
      </c>
      <c r="D512" s="159" t="s">
        <v>13</v>
      </c>
      <c r="E512" s="124"/>
      <c r="F512" s="123">
        <f>E513*0.25</f>
        <v>8</v>
      </c>
      <c r="G512" s="3"/>
      <c r="H512" s="3"/>
      <c r="I512" s="3"/>
      <c r="J512" s="3"/>
      <c r="K512" s="3"/>
      <c r="L512" s="3"/>
      <c r="M512" s="92"/>
    </row>
    <row r="513" spans="1:13" s="20" customFormat="1" ht="22.95" customHeight="1">
      <c r="A513" s="91"/>
      <c r="B513" s="179" t="s">
        <v>220</v>
      </c>
      <c r="C513" s="202" t="s">
        <v>221</v>
      </c>
      <c r="D513" s="174" t="s">
        <v>16</v>
      </c>
      <c r="E513" s="124">
        <v>32</v>
      </c>
      <c r="F513" s="123"/>
      <c r="G513" s="3"/>
      <c r="H513" s="3"/>
      <c r="I513" s="3"/>
      <c r="J513" s="3">
        <f>I513*E513</f>
        <v>0</v>
      </c>
      <c r="K513" s="3"/>
      <c r="L513" s="3"/>
      <c r="M513" s="92">
        <f t="shared" ref="M513:M518" si="167">L513+J513+H513</f>
        <v>0</v>
      </c>
    </row>
    <row r="514" spans="1:13" s="20" customFormat="1" ht="20.399999999999999" customHeight="1">
      <c r="A514" s="91"/>
      <c r="B514" s="161" t="s">
        <v>64</v>
      </c>
      <c r="C514" s="161" t="s">
        <v>67</v>
      </c>
      <c r="D514" s="159" t="s">
        <v>13</v>
      </c>
      <c r="E514" s="127">
        <v>1.0149999999999999</v>
      </c>
      <c r="F514" s="124">
        <f>E514*F512</f>
        <v>8.1199999999999992</v>
      </c>
      <c r="G514" s="3"/>
      <c r="H514" s="3">
        <f>G514*F514</f>
        <v>0</v>
      </c>
      <c r="I514" s="3"/>
      <c r="J514" s="3"/>
      <c r="K514" s="3"/>
      <c r="L514" s="3">
        <f>K514*F514</f>
        <v>0</v>
      </c>
      <c r="M514" s="92">
        <f t="shared" si="167"/>
        <v>0</v>
      </c>
    </row>
    <row r="515" spans="1:13" s="20" customFormat="1" ht="19.95" customHeight="1">
      <c r="A515" s="91"/>
      <c r="B515" s="166" t="s">
        <v>154</v>
      </c>
      <c r="C515" s="176" t="s">
        <v>153</v>
      </c>
      <c r="D515" s="177" t="s">
        <v>19</v>
      </c>
      <c r="E515" s="128">
        <v>2.1999999999999999E-2</v>
      </c>
      <c r="F515" s="127">
        <f t="shared" ref="F515:F516" si="168">ROUND(E515*1.03,3)</f>
        <v>2.3E-2</v>
      </c>
      <c r="G515" s="3"/>
      <c r="H515" s="3">
        <f>G515*F515</f>
        <v>0</v>
      </c>
      <c r="I515" s="3"/>
      <c r="J515" s="3"/>
      <c r="K515" s="3"/>
      <c r="L515" s="3"/>
      <c r="M515" s="92">
        <f t="shared" si="167"/>
        <v>0</v>
      </c>
    </row>
    <row r="516" spans="1:13" s="20" customFormat="1" ht="19.95" customHeight="1">
      <c r="A516" s="91"/>
      <c r="B516" s="166" t="s">
        <v>159</v>
      </c>
      <c r="C516" s="176" t="s">
        <v>160</v>
      </c>
      <c r="D516" s="177" t="s">
        <v>19</v>
      </c>
      <c r="E516" s="128">
        <v>0.55500000000000005</v>
      </c>
      <c r="F516" s="127">
        <f t="shared" si="168"/>
        <v>0.57199999999999995</v>
      </c>
      <c r="G516" s="3"/>
      <c r="H516" s="3">
        <f>F516*G516</f>
        <v>0</v>
      </c>
      <c r="I516" s="3"/>
      <c r="J516" s="3"/>
      <c r="K516" s="3"/>
      <c r="L516" s="3"/>
      <c r="M516" s="92">
        <f t="shared" si="167"/>
        <v>0</v>
      </c>
    </row>
    <row r="517" spans="1:13" s="20" customFormat="1" ht="19.95" customHeight="1">
      <c r="A517" s="91"/>
      <c r="B517" s="161" t="s">
        <v>228</v>
      </c>
      <c r="C517" s="161" t="s">
        <v>223</v>
      </c>
      <c r="D517" s="177" t="s">
        <v>13</v>
      </c>
      <c r="E517" s="128"/>
      <c r="F517" s="127">
        <f>F512</f>
        <v>8</v>
      </c>
      <c r="G517" s="3"/>
      <c r="H517" s="3">
        <f>G517*F517</f>
        <v>0</v>
      </c>
      <c r="I517" s="3"/>
      <c r="J517" s="3"/>
      <c r="K517" s="3"/>
      <c r="L517" s="3"/>
      <c r="M517" s="92">
        <f t="shared" si="167"/>
        <v>0</v>
      </c>
    </row>
    <row r="518" spans="1:13" s="20" customFormat="1" ht="19.95" customHeight="1">
      <c r="A518" s="91"/>
      <c r="B518" s="206" t="s">
        <v>22</v>
      </c>
      <c r="C518" s="161" t="s">
        <v>23</v>
      </c>
      <c r="D518" s="159" t="s">
        <v>13</v>
      </c>
      <c r="E518" s="127"/>
      <c r="F518" s="124">
        <f>F512</f>
        <v>8</v>
      </c>
      <c r="G518" s="3"/>
      <c r="H518" s="3">
        <f>G518*F518</f>
        <v>0</v>
      </c>
      <c r="I518" s="3"/>
      <c r="J518" s="3"/>
      <c r="K518" s="3"/>
      <c r="L518" s="3"/>
      <c r="M518" s="92">
        <f t="shared" si="167"/>
        <v>0</v>
      </c>
    </row>
    <row r="519" spans="1:13" s="20" customFormat="1" ht="19.95" customHeight="1">
      <c r="A519" s="14"/>
      <c r="B519" s="32" t="s">
        <v>38</v>
      </c>
      <c r="C519" s="143" t="s">
        <v>39</v>
      </c>
      <c r="D519" s="1" t="s">
        <v>40</v>
      </c>
      <c r="E519" s="1"/>
      <c r="F519" s="18"/>
      <c r="G519" s="4"/>
      <c r="H519" s="4">
        <f>SUM(H7:H518)</f>
        <v>0</v>
      </c>
      <c r="I519" s="4"/>
      <c r="J519" s="4">
        <f>SUM(J7:J518)</f>
        <v>0</v>
      </c>
      <c r="K519" s="4"/>
      <c r="L519" s="4">
        <f>SUM(L7:L518)</f>
        <v>0</v>
      </c>
      <c r="M519" s="4">
        <f>SUM(M7:M518)</f>
        <v>0</v>
      </c>
    </row>
    <row r="520" spans="1:13" s="20" customFormat="1" ht="31.95" customHeight="1">
      <c r="A520" s="14"/>
      <c r="B520" s="36" t="s">
        <v>41</v>
      </c>
      <c r="C520" s="143" t="s">
        <v>42</v>
      </c>
      <c r="D520" s="37">
        <v>0</v>
      </c>
      <c r="E520" s="1"/>
      <c r="F520" s="18"/>
      <c r="G520" s="4"/>
      <c r="H520" s="4"/>
      <c r="I520" s="4"/>
      <c r="J520" s="4"/>
      <c r="K520" s="4"/>
      <c r="L520" s="4"/>
      <c r="M520" s="93">
        <f>(H519-SUMIFS(H:H,C:C,"*ბეტონი C*"))*D520</f>
        <v>0</v>
      </c>
    </row>
    <row r="521" spans="1:13" s="20" customFormat="1" ht="19.95" customHeight="1">
      <c r="A521" s="14"/>
      <c r="B521" s="32" t="s">
        <v>38</v>
      </c>
      <c r="C521" s="143" t="s">
        <v>39</v>
      </c>
      <c r="D521" s="2"/>
      <c r="E521" s="1"/>
      <c r="F521" s="18"/>
      <c r="G521" s="4"/>
      <c r="H521" s="4"/>
      <c r="I521" s="4"/>
      <c r="J521" s="4"/>
      <c r="K521" s="4"/>
      <c r="L521" s="4"/>
      <c r="M521" s="93">
        <f>M520+M519</f>
        <v>0</v>
      </c>
    </row>
    <row r="522" spans="1:13" s="20" customFormat="1" ht="19.95" customHeight="1">
      <c r="A522" s="14"/>
      <c r="B522" s="32" t="s">
        <v>43</v>
      </c>
      <c r="C522" s="39" t="s">
        <v>44</v>
      </c>
      <c r="D522" s="2">
        <v>0</v>
      </c>
      <c r="E522" s="1"/>
      <c r="F522" s="1"/>
      <c r="G522" s="4"/>
      <c r="H522" s="4"/>
      <c r="I522" s="4"/>
      <c r="J522" s="4"/>
      <c r="K522" s="4"/>
      <c r="L522" s="4"/>
      <c r="M522" s="94">
        <f>M521*D522</f>
        <v>0</v>
      </c>
    </row>
    <row r="523" spans="1:13" s="20" customFormat="1" ht="19.95" customHeight="1">
      <c r="A523" s="14"/>
      <c r="B523" s="32" t="s">
        <v>38</v>
      </c>
      <c r="C523" s="143" t="s">
        <v>39</v>
      </c>
      <c r="D523" s="2"/>
      <c r="E523" s="1"/>
      <c r="F523" s="1"/>
      <c r="G523" s="4"/>
      <c r="H523" s="4"/>
      <c r="I523" s="4"/>
      <c r="J523" s="4"/>
      <c r="K523" s="4"/>
      <c r="L523" s="4"/>
      <c r="M523" s="93">
        <f>SUM(M521:M522)</f>
        <v>0</v>
      </c>
    </row>
    <row r="524" spans="1:13" s="20" customFormat="1" ht="19.95" customHeight="1">
      <c r="A524" s="14"/>
      <c r="B524" s="32" t="s">
        <v>45</v>
      </c>
      <c r="C524" s="39" t="s">
        <v>46</v>
      </c>
      <c r="D524" s="2">
        <v>0</v>
      </c>
      <c r="E524" s="1"/>
      <c r="F524" s="1"/>
      <c r="G524" s="4"/>
      <c r="H524" s="4"/>
      <c r="I524" s="4"/>
      <c r="J524" s="4"/>
      <c r="K524" s="4"/>
      <c r="L524" s="4"/>
      <c r="M524" s="94">
        <f>M523*D524</f>
        <v>0</v>
      </c>
    </row>
    <row r="525" spans="1:13" s="119" customFormat="1" ht="19.95" customHeight="1">
      <c r="A525" s="14"/>
      <c r="B525" s="115" t="s">
        <v>38</v>
      </c>
      <c r="C525" s="115" t="s">
        <v>39</v>
      </c>
      <c r="D525" s="116"/>
      <c r="E525" s="116"/>
      <c r="F525" s="116"/>
      <c r="G525" s="117"/>
      <c r="H525" s="117"/>
      <c r="I525" s="117"/>
      <c r="J525" s="117"/>
      <c r="K525" s="117"/>
      <c r="L525" s="117"/>
      <c r="M525" s="118">
        <f>M524+M523</f>
        <v>0</v>
      </c>
    </row>
    <row r="526" spans="1:13" s="20" customFormat="1" ht="19.95" customHeight="1">
      <c r="A526" s="14"/>
      <c r="B526" s="32" t="s">
        <v>163</v>
      </c>
      <c r="C526" s="39" t="s">
        <v>164</v>
      </c>
      <c r="D526" s="2">
        <v>0</v>
      </c>
      <c r="E526" s="1"/>
      <c r="F526" s="1"/>
      <c r="G526" s="4"/>
      <c r="H526" s="4"/>
      <c r="I526" s="4"/>
      <c r="J526" s="4"/>
      <c r="K526" s="4"/>
      <c r="L526" s="4"/>
      <c r="M526" s="94">
        <f>M525*D526</f>
        <v>0</v>
      </c>
    </row>
    <row r="527" spans="1:13" s="119" customFormat="1" ht="19.95" customHeight="1">
      <c r="A527" s="14"/>
      <c r="B527" s="115" t="s">
        <v>38</v>
      </c>
      <c r="C527" s="115" t="s">
        <v>39</v>
      </c>
      <c r="D527" s="116" t="s">
        <v>40</v>
      </c>
      <c r="E527" s="116"/>
      <c r="F527" s="116"/>
      <c r="G527" s="117"/>
      <c r="H527" s="117"/>
      <c r="I527" s="117"/>
      <c r="J527" s="117"/>
      <c r="K527" s="117"/>
      <c r="L527" s="117"/>
      <c r="M527" s="118">
        <f>M526+M525</f>
        <v>0</v>
      </c>
    </row>
    <row r="528" spans="1:13" s="20" customFormat="1" ht="19.95" customHeight="1">
      <c r="A528" s="14"/>
      <c r="B528" s="32" t="s">
        <v>47</v>
      </c>
      <c r="C528" s="39" t="s">
        <v>48</v>
      </c>
      <c r="D528" s="2">
        <v>0.18</v>
      </c>
      <c r="E528" s="1"/>
      <c r="F528" s="1"/>
      <c r="G528" s="4"/>
      <c r="H528" s="4"/>
      <c r="I528" s="4"/>
      <c r="J528" s="4"/>
      <c r="K528" s="4"/>
      <c r="L528" s="4"/>
      <c r="M528" s="94">
        <f>M527*D528</f>
        <v>0</v>
      </c>
    </row>
    <row r="529" spans="1:13" s="20" customFormat="1" ht="25.95" customHeight="1" thickBot="1">
      <c r="A529" s="41"/>
      <c r="B529" s="42" t="s">
        <v>49</v>
      </c>
      <c r="C529" s="43" t="s">
        <v>50</v>
      </c>
      <c r="D529" s="44" t="s">
        <v>40</v>
      </c>
      <c r="E529" s="44"/>
      <c r="F529" s="44"/>
      <c r="G529" s="95"/>
      <c r="H529" s="95"/>
      <c r="I529" s="95"/>
      <c r="J529" s="95"/>
      <c r="K529" s="95"/>
      <c r="L529" s="95"/>
      <c r="M529" s="96">
        <f>SUM(M527:M528)</f>
        <v>0</v>
      </c>
    </row>
    <row r="530" spans="1:13">
      <c r="E530" s="12"/>
    </row>
  </sheetData>
  <sheetProtection algorithmName="SHA-512" hashValue="pXB0ejN00Oo2arreYyXWb+2dcY07Na6BlVm/iV6gQHytq3aCJ24weBfwPDeS1VKs9oAv5mzxdYFo/xIP0SStKg==" saltValue="yi5E5XDosN4LDGHH2w8nLg==" spinCount="100000" sheet="1" objects="1" scenarios="1" formatCells="0" formatColumns="0" formatRows="0"/>
  <protectedRanges>
    <protectedRange sqref="D522 D524 D526" name="Range4_1_1"/>
    <protectedRange sqref="G115 G121:G122 G126:G127 G88 G105:G106 G60 G77:G78 G151 G157:G158 G162:G163 G186 G192:G193 G197:G198 G223 G229:G230 G234:G235 G259 G265:G266 G269:G270 G294 G300:G301 G304:G305 G328 G333:G334 G339:G340 G366 G371:G372 G377:G378 G403 G408:G409 G413:G414 G432 G437:G438 G93:G94 G100:G101 G479 G442:G443 G65:G66 G72:G73 G488 G494:G495 G485:G486" name="Range1_1"/>
    <protectedRange sqref="I115:I116 I126:I127 I120:I123 I88:I89 I105:I106 I60:I61 I77:I78 I151:I152 I162:I163 I156:I159 I186:I187 I197:I198 I191:I194 I223:I224 I234:I235 I228:I231 I259:I260 I269:I270 I264:I267 I294:I295 I304:I305 I299:I302 I328:I329 I339:I340 I332:I335 I366:I367 I377:I378 I370:I373 I403:I404 I413:I414 I407:I410 I432:I433 I436:I439 I92:I95 I99:I102 I442:I443 I479 I481 I64:I67 I71:I74 I494:I495 I488 I490 I485:I486" name="Range2_1"/>
    <protectedRange sqref="K117:K122 K88 K103:K106 K60 K75:K78 K115 K124:K127 K153:K158 K151 K160:K163 K188:K193 K186 K195:K198 K225:K230 K223 K232:K235 K261:K266 K259 K296:K301 K294 K330:K334 K328 K336:K337 K339:K340 K368:K372 K366 K374:K375 K377:K378 K405:K409 K403 K411:K414 K434:K438 K432 K473 K182 K255 K324 K456 K96:K101 K90:K94 K479 K440:K443 K68:K73 K289 K360:K361 K427 K268:K270 K488 K482:K486 K491:K495 K62:K66 K303:K305" name="Range3_1"/>
    <protectedRange sqref="G480 G142:G143 G147:G148 G475:G476 G428:G429 G466:G467 G178:G179 G183:G184 G461:G462 G214:G215 G219:G220 G470:G471 G251:G252 G256:G257 G457:G458 G285:G286 G290:G291 G451:G452 G320:G321 G325:G326 G422:G423 G355:G356 G362:G363 G489 G393:G394 G400:G401" name="Range1_1_1"/>
    <protectedRange sqref="I480 I147:I148 I142:I144 I475:I476 I428:I429 I466:I467 I183:I184 I178:I180 I461:I463 I219:I220 I214:I216 I470:I472 I256:I257 I251:I253 I451:I453 I290:I291 I285:I287 I457:I458 I325:I326 I320:I322 I489 I362:I363 I355:I357 I422:I424 I400:I401 I393:I395" name="Range2_1_1"/>
    <protectedRange sqref="K290:K291 K142:K143 K362:K363 K358:K359 K217:K220 K178:K179 K181 K145:K148 K214:K215 K428:K429 K251:K252 K254 K489 K285:K286 K288 K474:K476 K320:K321 K323 K480 K355:K356 K457:K458 K393:K394 K397 K400:K401 K422:K423 K425:K426 K325:K326 K451:K452 K455 K470:K471 K461:K462 K464:K467 K183:K184 K256:K257" name="Range3_1_1"/>
    <protectedRange sqref="G120 G64 G92 G156 G191 G228 G264 G299 G332 G370 G407 G436 G99 G71" name="Range1_2"/>
    <protectedRange sqref="G135 G140:G141 G171 G176:G177 G206 G212:G213 G243 G249:G250 G278 G283:G284 G313 G318:G319 G348 G353:G354 G386 G391:G392 G415 G420:G421 G444 G449:G450" name="Range1_1_2"/>
    <protectedRange sqref="I140:I141 I135:I136 I176:I177 I171:I172 I212:I213 I206:I207 I249:I250 I243:I244 I283:I284 I278:I279 I318:I319 I313:I314 I353:I354 I348:I349 I391:I392 I386:I387 I420:I421 I415:I416 I449:I450 I444:I445" name="Range2_1_2"/>
    <protectedRange sqref="K137:K141 K135 K173:K177 K171 K206 K243 K278 K280:K284 K313 K348 K350:K354 K315:K319 K338 K386 K388:K392 K376 K415 K417:K421 K444 K446:K450 K245:K250 K396 K398:K399 K454 K208:K213" name="Range3_1_2"/>
    <protectedRange sqref="I82 I131 I117 I124 I110 I90 I103 I62 I75 I167 I153 I160 I202 I188 I195 I239 I225 I232 I274 I261 I268 I309 I296 I303 I344 I336 I382 I374 I411 I440 I96 I482 I68 I491" name="Range2_3"/>
    <protectedRange sqref="K130 K81 K136 K144 K109 K89 K102 K61 K74 K116 K123 K166 K152 K159 K180 K172 K201 K207 K216 K187 K194 K238 K224 K231 K253 K244 K273 K279 K287 K260 K267 K308 K295 K302 K322 K314 K343 K349 K357 K329 K335 K381 K367 K373 K395 K387 K410 K416 K424 K404 K445 K433 K439 K453 K472 K463 K95 K481 K67 K490" name="Range3_3"/>
    <protectedRange sqref="G87 G59 G114 G150 G185 G222 G258 G293 G327 G365 G402 G431 G469 G460 G477:G478 G487 G7:G11 G267:G268 G74:G76 G123:G125 G136:G139 G194:G196 G207:G211 G279:G282 G335:G338 G349:G352 G410:G412 G416:G419 G67:G70 G81:G83 G116:G119 G130:G132 G144:G146 G187:G190 G201:G203 G216:G218 G260:G263 G273:G275 G287:G289 G329:G331 G343:G345 G357:G361 G404:G406 G424:G427 G463:G465 G490:G493 G89:G91 G95:G98 G109:G111 G152:G155 G166:G168 G481:G484 G224:G227 G238:G240 G295:G298 G308:G310 G367:G369 G381:G383 G433:G435 G472:G474 G102:G104 G159:G161 G172:G175 G180:G182 G231:G233 G244:G248 G253:G255 G49:G57 G314:G317 G322:G324 G373:G376 G387:G390 G395:G399 G439:G441 G445:G448 G453:G456 G61:G63 G24:G36 G302:G303 G13 G38" name="Range1_5"/>
    <protectedRange sqref="I83 I125 I118:I119 I137:I139 I111 I132 I87 I104 I59 I208:I211 I76 I114 I154:I155 I168 I150 I161 I173:I175 I196 I189:I190 I203 I185 I226:I227 I240 I222 I233 I425:I427 I262:I263 I275 I258 I280:I282 I297:I298 I310 I293 I49:I57 I330:I331 I345 I327 I350:I352 I315:I317 I337:I338 I368:I369 I383 I365 I388:I390 I375:I376 I405:I406 I412 I417:I419 I402 I434:I435 I441 I431 I446:I448 I469 I473:I474 I7:I8 I460 I464:I465 I10:I11 I91 I245:I248 I181:I182 I254:I255 I323:I324 I396:I399 I454:I456 I97:I98 I69:I70 I145:I146 I217:I218 I288:I289 I358:I361 I477:I478 I487 I483:I484 I492:I493 I35:I36 I63 I24:I33 I13 I38" name="Range2_4"/>
    <protectedRange sqref="K87 K59 K114 K150 K185 K222 K258 K293 K327 K365 K402 K431 K469 K460 K477:K478 K487 K7:K11 K24:K36 K49:K57 K13 K38" name="Range3_2"/>
    <protectedRange sqref="G107:G108 G112:G113 G79:G80 G84:G85 G128:G129 G133:G134 G164:G165 G169:G170 G199:G200 G204:G205 G236:G237 G241:G242 G271:G272 G276:G277 G306:G307 G311:G312 G341:G342 G346:G347 G379:G380 G384:G385" name="Range1_1_1_1"/>
    <protectedRange sqref="I107:I109 I112:I113 I79:I81 I84:I85 I128:I130 I133:I134 I164:I166 I169:I170 I199:I201 I204:I205 I236:I238 I241:I242 I271:I273 I276:I277 I306:I308 I311:I312 I341:I343 I346:I347 I379:I381 I384:I385" name="Range2_1_1_1"/>
    <protectedRange sqref="K107:K108 K110:K113 K79:K80 K82:K85 K128:K129 K131:K134 K164:K165 K167:K170 K199:K200 K202:K205 K236:K237 K239:K242 K271:K272 K274:K277 K306:K307 K309:K312 K341:K342 K344:K347 K379:K380 K382:K385" name="Range3_1_1_1"/>
    <protectedRange sqref="G14:G19 G39:G44" name="Range1_5_1"/>
    <protectedRange sqref="I14:I19 I39:I44" name="Range2_4_1"/>
    <protectedRange sqref="K14:K19 K39:K44" name="Range3_2_1"/>
    <protectedRange sqref="G498 G512 G517:G518 G509:G510 G503:G506" name="Range1_1_3"/>
    <protectedRange sqref="I498 I500 I517:I518 I512 I514 I503:I506 I509:I510" name="Range2_1_3"/>
    <protectedRange sqref="K498 K512 K515:K518 K501:K505 K507:K510" name="Range3_1_3"/>
    <protectedRange sqref="G513 G499" name="Range1_1_1_2"/>
    <protectedRange sqref="I513 I499" name="Range2_1_1_2"/>
    <protectedRange sqref="K499 K513" name="Range3_1_1_2"/>
    <protectedRange sqref="I501 I515 I507" name="Range2_3_1"/>
    <protectedRange sqref="K500 K514 K506" name="Range3_3_1"/>
    <protectedRange sqref="G507:G508 G496:G497 G511 G500:G502 G514:G516" name="Range1_5_2"/>
    <protectedRange sqref="I508 I496:I497 I511 I502 I516" name="Range2_4_2"/>
    <protectedRange sqref="K496:K497 K511" name="Range3_2_2"/>
    <protectedRange sqref="G20:G23 G45:G48" name="Range1_5_3"/>
    <protectedRange sqref="I20:I23 I45:I48" name="Range2_4_3"/>
    <protectedRange sqref="K20:K23 K45:K48" name="Range3_2_3"/>
    <protectedRange sqref="G12" name="Range1_5_4"/>
    <protectedRange sqref="I12" name="Range2_4_4"/>
    <protectedRange sqref="K12" name="Range3_2_4"/>
    <protectedRange sqref="G37" name="Range1_5_6"/>
    <protectedRange sqref="I37" name="Range2_4_6"/>
    <protectedRange sqref="K37" name="Range3_2_6"/>
  </protectedRanges>
  <autoFilter ref="A6:M530" xr:uid="{0CECEA7E-AA41-4B1E-AB9B-FF67445835B4}"/>
  <mergeCells count="11">
    <mergeCell ref="B1:M2"/>
    <mergeCell ref="A4:A5"/>
    <mergeCell ref="B4:B5"/>
    <mergeCell ref="C4:C5"/>
    <mergeCell ref="D4:D5"/>
    <mergeCell ref="E4:E5"/>
    <mergeCell ref="F4:F5"/>
    <mergeCell ref="G4:H4"/>
    <mergeCell ref="I4:J4"/>
    <mergeCell ref="K4:L4"/>
    <mergeCell ref="M4:M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A00A9-5A26-4A2B-9CE5-76561C566B45}">
  <sheetPr>
    <tabColor rgb="FF92D050"/>
  </sheetPr>
  <dimension ref="A1:M32"/>
  <sheetViews>
    <sheetView zoomScale="70" zoomScaleNormal="70" workbookViewId="0">
      <pane xSplit="3" ySplit="7" topLeftCell="D8" activePane="bottomRight" state="frozen"/>
      <selection activeCell="E415" sqref="E415"/>
      <selection pane="topRight" activeCell="E415" sqref="E415"/>
      <selection pane="bottomLeft" activeCell="E415" sqref="E415"/>
      <selection pane="bottomRight" activeCell="F20" sqref="F20"/>
    </sheetView>
  </sheetViews>
  <sheetFormatPr defaultColWidth="9" defaultRowHeight="14.4"/>
  <cols>
    <col min="1" max="1" width="3.33203125" style="12" customWidth="1"/>
    <col min="2" max="2" width="48.6640625" style="12" customWidth="1"/>
    <col min="3" max="3" width="42.33203125" style="12" customWidth="1"/>
    <col min="4" max="4" width="16.33203125" style="12" customWidth="1"/>
    <col min="5" max="6" width="18.88671875" style="12" bestFit="1" customWidth="1"/>
    <col min="7" max="7" width="22.33203125" style="12" bestFit="1" customWidth="1"/>
    <col min="8" max="8" width="16.21875" style="12" bestFit="1" customWidth="1"/>
    <col min="9" max="9" width="13.33203125" style="12" customWidth="1"/>
    <col min="10" max="10" width="14.21875" style="12" bestFit="1" customWidth="1"/>
    <col min="11" max="11" width="11" style="12" bestFit="1" customWidth="1"/>
    <col min="12" max="12" width="11.6640625" style="12" bestFit="1" customWidth="1"/>
    <col min="13" max="13" width="17.109375" style="12" customWidth="1"/>
    <col min="14" max="16384" width="9" style="12"/>
  </cols>
  <sheetData>
    <row r="1" spans="1:13">
      <c r="B1" s="144" t="s">
        <v>232</v>
      </c>
      <c r="C1" s="145"/>
      <c r="D1" s="145"/>
      <c r="E1" s="145"/>
      <c r="F1" s="145"/>
      <c r="G1" s="145"/>
      <c r="H1" s="145"/>
      <c r="I1" s="145"/>
      <c r="J1" s="145"/>
      <c r="K1" s="145"/>
      <c r="L1" s="145"/>
      <c r="M1" s="145"/>
    </row>
    <row r="2" spans="1:13">
      <c r="B2" s="145"/>
      <c r="C2" s="145"/>
      <c r="D2" s="145"/>
      <c r="E2" s="145"/>
      <c r="F2" s="145"/>
      <c r="G2" s="145"/>
      <c r="H2" s="145"/>
      <c r="I2" s="145"/>
      <c r="J2" s="145"/>
      <c r="K2" s="145"/>
      <c r="L2" s="145"/>
      <c r="M2" s="145"/>
    </row>
    <row r="3" spans="1:13" ht="15" thickBot="1"/>
    <row r="4" spans="1:13" s="13" customFormat="1" ht="27.6" customHeight="1">
      <c r="A4" s="147" t="s">
        <v>0</v>
      </c>
      <c r="B4" s="149" t="s">
        <v>1</v>
      </c>
      <c r="C4" s="151" t="s">
        <v>2</v>
      </c>
      <c r="D4" s="151" t="s">
        <v>3</v>
      </c>
      <c r="E4" s="151" t="s">
        <v>4</v>
      </c>
      <c r="F4" s="151" t="s">
        <v>5</v>
      </c>
      <c r="G4" s="151" t="s">
        <v>166</v>
      </c>
      <c r="H4" s="151"/>
      <c r="I4" s="151" t="s">
        <v>6</v>
      </c>
      <c r="J4" s="151"/>
      <c r="K4" s="151" t="s">
        <v>7</v>
      </c>
      <c r="L4" s="151"/>
      <c r="M4" s="155" t="s">
        <v>8</v>
      </c>
    </row>
    <row r="5" spans="1:13" s="13" customFormat="1" ht="33.6" customHeight="1">
      <c r="A5" s="148"/>
      <c r="B5" s="150"/>
      <c r="C5" s="152"/>
      <c r="D5" s="152"/>
      <c r="E5" s="152"/>
      <c r="F5" s="152"/>
      <c r="G5" s="143" t="s">
        <v>9</v>
      </c>
      <c r="H5" s="143" t="s">
        <v>10</v>
      </c>
      <c r="I5" s="143" t="s">
        <v>9</v>
      </c>
      <c r="J5" s="143" t="s">
        <v>10</v>
      </c>
      <c r="K5" s="143" t="s">
        <v>9</v>
      </c>
      <c r="L5" s="143" t="s">
        <v>10</v>
      </c>
      <c r="M5" s="156"/>
    </row>
    <row r="6" spans="1:13" s="13" customFormat="1" ht="16.95" customHeight="1">
      <c r="A6" s="141">
        <v>1</v>
      </c>
      <c r="B6" s="141">
        <v>2</v>
      </c>
      <c r="C6" s="141">
        <v>3</v>
      </c>
      <c r="D6" s="141">
        <v>4</v>
      </c>
      <c r="E6" s="141">
        <v>5</v>
      </c>
      <c r="F6" s="141">
        <v>6</v>
      </c>
      <c r="G6" s="141">
        <v>7</v>
      </c>
      <c r="H6" s="141">
        <v>8</v>
      </c>
      <c r="I6" s="141">
        <v>9</v>
      </c>
      <c r="J6" s="141">
        <v>10</v>
      </c>
      <c r="K6" s="141">
        <v>11</v>
      </c>
      <c r="L6" s="141">
        <v>12</v>
      </c>
      <c r="M6" s="141">
        <v>13</v>
      </c>
    </row>
    <row r="7" spans="1:13" s="13" customFormat="1" ht="21.6" customHeight="1">
      <c r="A7" s="61"/>
      <c r="B7" s="62" t="s">
        <v>167</v>
      </c>
      <c r="C7" s="62" t="s">
        <v>168</v>
      </c>
      <c r="D7" s="63"/>
      <c r="E7" s="63"/>
      <c r="F7" s="63"/>
      <c r="G7" s="63"/>
      <c r="H7" s="63"/>
      <c r="I7" s="63"/>
      <c r="J7" s="63"/>
      <c r="K7" s="63"/>
      <c r="L7" s="63"/>
      <c r="M7" s="90"/>
    </row>
    <row r="8" spans="1:13" s="20" customFormat="1" ht="19.95" customHeight="1">
      <c r="A8" s="14"/>
      <c r="B8" s="15" t="s">
        <v>52</v>
      </c>
      <c r="C8" s="16" t="s">
        <v>54</v>
      </c>
      <c r="D8" s="17"/>
      <c r="E8" s="18"/>
      <c r="F8" s="18"/>
      <c r="G8" s="1"/>
      <c r="H8" s="1"/>
      <c r="I8" s="1"/>
      <c r="J8" s="1"/>
      <c r="K8" s="1"/>
      <c r="L8" s="1"/>
      <c r="M8" s="19"/>
    </row>
    <row r="9" spans="1:13" s="20" customFormat="1" ht="34.950000000000003" customHeight="1">
      <c r="A9" s="91">
        <v>7</v>
      </c>
      <c r="B9" s="172" t="s">
        <v>169</v>
      </c>
      <c r="C9" s="163" t="s">
        <v>170</v>
      </c>
      <c r="D9" s="159" t="s">
        <v>13</v>
      </c>
      <c r="E9" s="97"/>
      <c r="F9" s="98">
        <v>2.42</v>
      </c>
      <c r="G9" s="3"/>
      <c r="H9" s="3"/>
      <c r="I9" s="3"/>
      <c r="J9" s="3">
        <f>I9*F9</f>
        <v>0</v>
      </c>
      <c r="K9" s="3"/>
      <c r="L9" s="3"/>
      <c r="M9" s="92">
        <f t="shared" ref="M9:M14" si="0">L9+J9+H9</f>
        <v>0</v>
      </c>
    </row>
    <row r="10" spans="1:13" s="20" customFormat="1" ht="19.95" customHeight="1">
      <c r="A10" s="91"/>
      <c r="B10" s="175" t="s">
        <v>64</v>
      </c>
      <c r="C10" s="161" t="s">
        <v>67</v>
      </c>
      <c r="D10" s="159" t="s">
        <v>13</v>
      </c>
      <c r="E10" s="99">
        <v>1.0149999999999999</v>
      </c>
      <c r="F10" s="97">
        <f>F9*E10</f>
        <v>2.4562999999999997</v>
      </c>
      <c r="G10" s="3"/>
      <c r="H10" s="3">
        <f>F10*G10</f>
        <v>0</v>
      </c>
      <c r="I10" s="3"/>
      <c r="J10" s="3"/>
      <c r="K10" s="3"/>
      <c r="L10" s="3">
        <f>K10*F10</f>
        <v>0</v>
      </c>
      <c r="M10" s="92">
        <f t="shared" si="0"/>
        <v>0</v>
      </c>
    </row>
    <row r="11" spans="1:13" s="20" customFormat="1" ht="19.95" customHeight="1">
      <c r="A11" s="91"/>
      <c r="B11" s="166" t="s">
        <v>154</v>
      </c>
      <c r="C11" s="176" t="s">
        <v>153</v>
      </c>
      <c r="D11" s="177" t="s">
        <v>19</v>
      </c>
      <c r="E11" s="100">
        <f>2/1000</f>
        <v>2E-3</v>
      </c>
      <c r="F11" s="99">
        <f>E11*1.03</f>
        <v>2.0600000000000002E-3</v>
      </c>
      <c r="G11" s="3"/>
      <c r="H11" s="3">
        <f>F11*G11</f>
        <v>0</v>
      </c>
      <c r="I11" s="3"/>
      <c r="J11" s="3">
        <f>F11*I11</f>
        <v>0</v>
      </c>
      <c r="K11" s="3"/>
      <c r="L11" s="3"/>
      <c r="M11" s="92">
        <f t="shared" si="0"/>
        <v>0</v>
      </c>
    </row>
    <row r="12" spans="1:13" s="20" customFormat="1" ht="19.95" customHeight="1">
      <c r="A12" s="91"/>
      <c r="B12" s="166" t="s">
        <v>159</v>
      </c>
      <c r="C12" s="176" t="s">
        <v>160</v>
      </c>
      <c r="D12" s="177" t="s">
        <v>19</v>
      </c>
      <c r="E12" s="100">
        <f>(391+19+91+136)/1000</f>
        <v>0.63700000000000001</v>
      </c>
      <c r="F12" s="99">
        <f>E12*1.03</f>
        <v>0.65611000000000008</v>
      </c>
      <c r="G12" s="3"/>
      <c r="H12" s="3">
        <f>F12*G12</f>
        <v>0</v>
      </c>
      <c r="I12" s="3"/>
      <c r="J12" s="3">
        <f>F12*I12</f>
        <v>0</v>
      </c>
      <c r="K12" s="3"/>
      <c r="L12" s="3"/>
      <c r="M12" s="92">
        <f t="shared" si="0"/>
        <v>0</v>
      </c>
    </row>
    <row r="13" spans="1:13" s="20" customFormat="1" ht="19.95" customHeight="1">
      <c r="A13" s="91"/>
      <c r="B13" s="178" t="s">
        <v>20</v>
      </c>
      <c r="C13" s="161" t="s">
        <v>21</v>
      </c>
      <c r="D13" s="159" t="s">
        <v>13</v>
      </c>
      <c r="E13" s="99"/>
      <c r="F13" s="97">
        <f>F9</f>
        <v>2.42</v>
      </c>
      <c r="G13" s="3"/>
      <c r="H13" s="3">
        <f>F13*G13</f>
        <v>0</v>
      </c>
      <c r="I13" s="3"/>
      <c r="J13" s="3"/>
      <c r="K13" s="3"/>
      <c r="L13" s="3"/>
      <c r="M13" s="92">
        <f t="shared" si="0"/>
        <v>0</v>
      </c>
    </row>
    <row r="14" spans="1:13" s="20" customFormat="1" ht="19.95" customHeight="1">
      <c r="A14" s="91"/>
      <c r="B14" s="179" t="s">
        <v>22</v>
      </c>
      <c r="C14" s="161" t="s">
        <v>23</v>
      </c>
      <c r="D14" s="159" t="s">
        <v>13</v>
      </c>
      <c r="E14" s="97"/>
      <c r="F14" s="97">
        <f>F9</f>
        <v>2.42</v>
      </c>
      <c r="G14" s="3"/>
      <c r="H14" s="3">
        <f>F14*G14</f>
        <v>0</v>
      </c>
      <c r="I14" s="3"/>
      <c r="J14" s="3"/>
      <c r="K14" s="3"/>
      <c r="L14" s="3"/>
      <c r="M14" s="92">
        <f t="shared" si="0"/>
        <v>0</v>
      </c>
    </row>
    <row r="15" spans="1:13" s="20" customFormat="1" ht="19.95" customHeight="1">
      <c r="A15" s="14"/>
      <c r="B15" s="180" t="s">
        <v>51</v>
      </c>
      <c r="C15" s="181" t="s">
        <v>53</v>
      </c>
      <c r="D15" s="169"/>
      <c r="E15" s="54"/>
      <c r="F15" s="54"/>
      <c r="G15" s="1"/>
      <c r="H15" s="1"/>
      <c r="I15" s="1"/>
      <c r="J15" s="1"/>
      <c r="K15" s="1"/>
      <c r="L15" s="1"/>
      <c r="M15" s="19"/>
    </row>
    <row r="16" spans="1:13" s="20" customFormat="1" ht="34.950000000000003" customHeight="1">
      <c r="A16" s="91">
        <v>7</v>
      </c>
      <c r="B16" s="172" t="s">
        <v>169</v>
      </c>
      <c r="C16" s="163" t="s">
        <v>170</v>
      </c>
      <c r="D16" s="159" t="s">
        <v>13</v>
      </c>
      <c r="E16" s="97"/>
      <c r="F16" s="98">
        <v>2.42</v>
      </c>
      <c r="G16" s="3"/>
      <c r="H16" s="3"/>
      <c r="I16" s="3"/>
      <c r="J16" s="3">
        <f>I16*F16</f>
        <v>0</v>
      </c>
      <c r="K16" s="3"/>
      <c r="L16" s="3"/>
      <c r="M16" s="92">
        <f t="shared" ref="M16:M21" si="1">L16+J16+H16</f>
        <v>0</v>
      </c>
    </row>
    <row r="17" spans="1:13" s="20" customFormat="1" ht="19.95" customHeight="1">
      <c r="A17" s="91"/>
      <c r="B17" s="175" t="s">
        <v>64</v>
      </c>
      <c r="C17" s="161" t="s">
        <v>67</v>
      </c>
      <c r="D17" s="159" t="s">
        <v>13</v>
      </c>
      <c r="E17" s="99">
        <v>1.0149999999999999</v>
      </c>
      <c r="F17" s="97">
        <f>F16*E17</f>
        <v>2.4562999999999997</v>
      </c>
      <c r="G17" s="3"/>
      <c r="H17" s="3">
        <f>F17*G17</f>
        <v>0</v>
      </c>
      <c r="I17" s="3"/>
      <c r="J17" s="3"/>
      <c r="K17" s="3"/>
      <c r="L17" s="3">
        <f>K17*F17</f>
        <v>0</v>
      </c>
      <c r="M17" s="92">
        <f t="shared" si="1"/>
        <v>0</v>
      </c>
    </row>
    <row r="18" spans="1:13" s="20" customFormat="1" ht="19.95" customHeight="1">
      <c r="A18" s="91"/>
      <c r="B18" s="166" t="s">
        <v>154</v>
      </c>
      <c r="C18" s="176" t="s">
        <v>153</v>
      </c>
      <c r="D18" s="177" t="s">
        <v>19</v>
      </c>
      <c r="E18" s="100">
        <f>2/1000</f>
        <v>2E-3</v>
      </c>
      <c r="F18" s="99">
        <f>E18*1.03</f>
        <v>2.0600000000000002E-3</v>
      </c>
      <c r="G18" s="3"/>
      <c r="H18" s="3">
        <f>F18*G18</f>
        <v>0</v>
      </c>
      <c r="I18" s="3"/>
      <c r="J18" s="3">
        <f>F18*I18</f>
        <v>0</v>
      </c>
      <c r="K18" s="3"/>
      <c r="L18" s="3"/>
      <c r="M18" s="92">
        <f t="shared" si="1"/>
        <v>0</v>
      </c>
    </row>
    <row r="19" spans="1:13" s="20" customFormat="1" ht="19.95" customHeight="1">
      <c r="A19" s="91"/>
      <c r="B19" s="166" t="s">
        <v>159</v>
      </c>
      <c r="C19" s="176" t="s">
        <v>160</v>
      </c>
      <c r="D19" s="177" t="s">
        <v>19</v>
      </c>
      <c r="E19" s="100">
        <f>(391+19+91+136)/1000</f>
        <v>0.63700000000000001</v>
      </c>
      <c r="F19" s="99">
        <f>E19*1.03</f>
        <v>0.65611000000000008</v>
      </c>
      <c r="G19" s="3"/>
      <c r="H19" s="3">
        <f>F19*G19</f>
        <v>0</v>
      </c>
      <c r="I19" s="3"/>
      <c r="J19" s="3">
        <f>F19*I19</f>
        <v>0</v>
      </c>
      <c r="K19" s="3"/>
      <c r="L19" s="3"/>
      <c r="M19" s="92">
        <f t="shared" si="1"/>
        <v>0</v>
      </c>
    </row>
    <row r="20" spans="1:13" s="20" customFormat="1" ht="19.95" customHeight="1">
      <c r="A20" s="91"/>
      <c r="B20" s="178" t="s">
        <v>20</v>
      </c>
      <c r="C20" s="161" t="s">
        <v>21</v>
      </c>
      <c r="D20" s="159" t="s">
        <v>13</v>
      </c>
      <c r="E20" s="99"/>
      <c r="F20" s="97">
        <f>F16</f>
        <v>2.42</v>
      </c>
      <c r="G20" s="3"/>
      <c r="H20" s="3">
        <f>F20*G20</f>
        <v>0</v>
      </c>
      <c r="I20" s="3"/>
      <c r="J20" s="3"/>
      <c r="K20" s="3"/>
      <c r="L20" s="3"/>
      <c r="M20" s="92">
        <f t="shared" si="1"/>
        <v>0</v>
      </c>
    </row>
    <row r="21" spans="1:13" s="20" customFormat="1" ht="19.95" customHeight="1">
      <c r="A21" s="91"/>
      <c r="B21" s="179" t="s">
        <v>22</v>
      </c>
      <c r="C21" s="161" t="s">
        <v>23</v>
      </c>
      <c r="D21" s="159" t="s">
        <v>13</v>
      </c>
      <c r="E21" s="97"/>
      <c r="F21" s="97">
        <f>F16</f>
        <v>2.42</v>
      </c>
      <c r="G21" s="3"/>
      <c r="H21" s="3">
        <f>F21*G21</f>
        <v>0</v>
      </c>
      <c r="I21" s="3"/>
      <c r="J21" s="3"/>
      <c r="K21" s="3"/>
      <c r="L21" s="3"/>
      <c r="M21" s="92">
        <f t="shared" si="1"/>
        <v>0</v>
      </c>
    </row>
    <row r="22" spans="1:13" s="20" customFormat="1" ht="19.95" customHeight="1">
      <c r="A22" s="14"/>
      <c r="B22" s="32" t="s">
        <v>38</v>
      </c>
      <c r="C22" s="143" t="s">
        <v>39</v>
      </c>
      <c r="D22" s="1" t="s">
        <v>40</v>
      </c>
      <c r="E22" s="1"/>
      <c r="F22" s="18"/>
      <c r="G22" s="4"/>
      <c r="H22" s="4">
        <f>SUM(H16:H21)</f>
        <v>0</v>
      </c>
      <c r="I22" s="4"/>
      <c r="J22" s="4">
        <f>SUM(J16:J21)</f>
        <v>0</v>
      </c>
      <c r="K22" s="4"/>
      <c r="L22" s="4">
        <f>SUM(L16:L21)</f>
        <v>0</v>
      </c>
      <c r="M22" s="4">
        <f>SUM(M16:M21)</f>
        <v>0</v>
      </c>
    </row>
    <row r="23" spans="1:13" s="20" customFormat="1" ht="31.95" customHeight="1">
      <c r="A23" s="14"/>
      <c r="B23" s="36" t="s">
        <v>41</v>
      </c>
      <c r="C23" s="143" t="s">
        <v>42</v>
      </c>
      <c r="D23" s="37">
        <v>0</v>
      </c>
      <c r="E23" s="1"/>
      <c r="F23" s="18"/>
      <c r="G23" s="4"/>
      <c r="H23" s="4"/>
      <c r="I23" s="4"/>
      <c r="J23" s="4"/>
      <c r="K23" s="4"/>
      <c r="L23" s="4"/>
      <c r="M23" s="93">
        <f>(H22-SUMIFS(H:H,C:C,"*ბეტონი C*"))*D23</f>
        <v>0</v>
      </c>
    </row>
    <row r="24" spans="1:13" s="20" customFormat="1" ht="19.95" customHeight="1">
      <c r="A24" s="14"/>
      <c r="B24" s="32" t="s">
        <v>38</v>
      </c>
      <c r="C24" s="143" t="s">
        <v>39</v>
      </c>
      <c r="D24" s="2"/>
      <c r="E24" s="1"/>
      <c r="F24" s="18"/>
      <c r="G24" s="4"/>
      <c r="H24" s="4"/>
      <c r="I24" s="4"/>
      <c r="J24" s="4"/>
      <c r="K24" s="4"/>
      <c r="L24" s="4"/>
      <c r="M24" s="93">
        <f>M23+M22</f>
        <v>0</v>
      </c>
    </row>
    <row r="25" spans="1:13" s="20" customFormat="1" ht="19.95" customHeight="1">
      <c r="A25" s="14"/>
      <c r="B25" s="32" t="s">
        <v>43</v>
      </c>
      <c r="C25" s="39" t="s">
        <v>44</v>
      </c>
      <c r="D25" s="2">
        <v>0</v>
      </c>
      <c r="E25" s="1"/>
      <c r="F25" s="1"/>
      <c r="G25" s="4"/>
      <c r="H25" s="4"/>
      <c r="I25" s="4"/>
      <c r="J25" s="4"/>
      <c r="K25" s="4"/>
      <c r="L25" s="4"/>
      <c r="M25" s="94">
        <f>M24*D25</f>
        <v>0</v>
      </c>
    </row>
    <row r="26" spans="1:13" s="20" customFormat="1" ht="19.95" customHeight="1">
      <c r="A26" s="14"/>
      <c r="B26" s="32" t="s">
        <v>38</v>
      </c>
      <c r="C26" s="143" t="s">
        <v>39</v>
      </c>
      <c r="D26" s="2"/>
      <c r="E26" s="1"/>
      <c r="F26" s="1"/>
      <c r="G26" s="4"/>
      <c r="H26" s="4"/>
      <c r="I26" s="4"/>
      <c r="J26" s="4"/>
      <c r="K26" s="4"/>
      <c r="L26" s="4"/>
      <c r="M26" s="93">
        <f>SUM(M24:M25)</f>
        <v>0</v>
      </c>
    </row>
    <row r="27" spans="1:13" s="20" customFormat="1" ht="19.95" customHeight="1">
      <c r="A27" s="14"/>
      <c r="B27" s="32" t="s">
        <v>45</v>
      </c>
      <c r="C27" s="39" t="s">
        <v>46</v>
      </c>
      <c r="D27" s="2">
        <v>0</v>
      </c>
      <c r="E27" s="1"/>
      <c r="F27" s="1"/>
      <c r="G27" s="4"/>
      <c r="H27" s="4"/>
      <c r="I27" s="4"/>
      <c r="J27" s="4"/>
      <c r="K27" s="4"/>
      <c r="L27" s="4"/>
      <c r="M27" s="94">
        <f>M26*D27</f>
        <v>0</v>
      </c>
    </row>
    <row r="28" spans="1:13" s="20" customFormat="1" ht="19.95" customHeight="1">
      <c r="A28" s="14"/>
      <c r="B28" s="36" t="s">
        <v>38</v>
      </c>
      <c r="C28" s="36" t="s">
        <v>39</v>
      </c>
      <c r="D28" s="1"/>
      <c r="E28" s="1"/>
      <c r="F28" s="1"/>
      <c r="G28" s="4"/>
      <c r="H28" s="4"/>
      <c r="I28" s="4"/>
      <c r="J28" s="4"/>
      <c r="K28" s="4"/>
      <c r="L28" s="4"/>
      <c r="M28" s="93">
        <f>M27+M26</f>
        <v>0</v>
      </c>
    </row>
    <row r="29" spans="1:13" s="20" customFormat="1" ht="19.95" customHeight="1">
      <c r="A29" s="14"/>
      <c r="B29" s="32" t="s">
        <v>163</v>
      </c>
      <c r="C29" s="39" t="s">
        <v>164</v>
      </c>
      <c r="D29" s="2">
        <v>0</v>
      </c>
      <c r="E29" s="1"/>
      <c r="F29" s="1"/>
      <c r="G29" s="4"/>
      <c r="H29" s="4"/>
      <c r="I29" s="4"/>
      <c r="J29" s="4"/>
      <c r="K29" s="4"/>
      <c r="L29" s="4"/>
      <c r="M29" s="94">
        <f>M28*D29</f>
        <v>0</v>
      </c>
    </row>
    <row r="30" spans="1:13" s="20" customFormat="1" ht="19.95" customHeight="1">
      <c r="A30" s="14"/>
      <c r="B30" s="36" t="s">
        <v>38</v>
      </c>
      <c r="C30" s="36" t="s">
        <v>39</v>
      </c>
      <c r="D30" s="1" t="s">
        <v>40</v>
      </c>
      <c r="E30" s="1"/>
      <c r="F30" s="1"/>
      <c r="G30" s="4"/>
      <c r="H30" s="4"/>
      <c r="I30" s="4"/>
      <c r="J30" s="4"/>
      <c r="K30" s="4"/>
      <c r="L30" s="4"/>
      <c r="M30" s="93">
        <f>M29+M28</f>
        <v>0</v>
      </c>
    </row>
    <row r="31" spans="1:13" s="20" customFormat="1" ht="19.95" customHeight="1">
      <c r="A31" s="14"/>
      <c r="B31" s="32" t="s">
        <v>47</v>
      </c>
      <c r="C31" s="39" t="s">
        <v>48</v>
      </c>
      <c r="D31" s="2">
        <v>0.18</v>
      </c>
      <c r="E31" s="1"/>
      <c r="F31" s="1"/>
      <c r="G31" s="4"/>
      <c r="H31" s="4"/>
      <c r="I31" s="4"/>
      <c r="J31" s="4"/>
      <c r="K31" s="4"/>
      <c r="L31" s="4"/>
      <c r="M31" s="94">
        <f>M30*D31</f>
        <v>0</v>
      </c>
    </row>
    <row r="32" spans="1:13" s="20" customFormat="1" ht="25.95" customHeight="1" thickBot="1">
      <c r="A32" s="41"/>
      <c r="B32" s="42" t="s">
        <v>49</v>
      </c>
      <c r="C32" s="43" t="s">
        <v>50</v>
      </c>
      <c r="D32" s="44" t="s">
        <v>40</v>
      </c>
      <c r="E32" s="44"/>
      <c r="F32" s="44"/>
      <c r="G32" s="95"/>
      <c r="H32" s="95"/>
      <c r="I32" s="95"/>
      <c r="J32" s="95"/>
      <c r="K32" s="95"/>
      <c r="L32" s="95"/>
      <c r="M32" s="96">
        <f>SUM(M30:M31)</f>
        <v>0</v>
      </c>
    </row>
  </sheetData>
  <sheetProtection algorithmName="SHA-512" hashValue="2e9J25tPtqs3akhmR8PXksIHCQkPOWcyXkwISqacVcFUDzH9WWv+3NnkjIjX0D/Enqu9QchQ4/jHfy8K/VNk+A==" saltValue="3A9/t765NrLHqOFozH4d4g==" spinCount="100000" sheet="1" objects="1" scenarios="1" formatCells="0" formatColumns="0" formatRows="0"/>
  <protectedRanges>
    <protectedRange sqref="G7:G21" name="Range1_5"/>
    <protectedRange sqref="I7:I21" name="Range2_4"/>
    <protectedRange sqref="K7:K21" name="Range3_2"/>
    <protectedRange sqref="D25 D27 D29" name="Range4_1_1"/>
  </protectedRanges>
  <mergeCells count="11">
    <mergeCell ref="M4:M5"/>
    <mergeCell ref="B1:M2"/>
    <mergeCell ref="A4:A5"/>
    <mergeCell ref="B4:B5"/>
    <mergeCell ref="C4:C5"/>
    <mergeCell ref="D4:D5"/>
    <mergeCell ref="E4:E5"/>
    <mergeCell ref="F4:F5"/>
    <mergeCell ref="G4:H4"/>
    <mergeCell ref="I4:J4"/>
    <mergeCell ref="K4:L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72B55-C153-470A-AFCC-7D7838D1B385}">
  <sheetPr>
    <tabColor rgb="FF92D050"/>
  </sheetPr>
  <dimension ref="A1:T54"/>
  <sheetViews>
    <sheetView zoomScale="85" zoomScaleNormal="70" workbookViewId="0">
      <pane xSplit="3" ySplit="6" topLeftCell="D27" activePane="bottomRight" state="frozen"/>
      <selection activeCell="E415" sqref="E415"/>
      <selection pane="topRight" activeCell="E415" sqref="E415"/>
      <selection pane="bottomLeft" activeCell="E415" sqref="E415"/>
      <selection pane="bottomRight" activeCell="D45" sqref="D45"/>
    </sheetView>
  </sheetViews>
  <sheetFormatPr defaultRowHeight="14.4"/>
  <cols>
    <col min="1" max="1" width="8.88671875" style="12"/>
    <col min="2" max="2" width="55.5546875" style="12" bestFit="1" customWidth="1"/>
    <col min="3" max="3" width="56.77734375" style="12" bestFit="1" customWidth="1"/>
    <col min="4" max="4" width="14.6640625" style="74" bestFit="1" customWidth="1"/>
    <col min="5" max="5" width="15.44140625" style="20" bestFit="1" customWidth="1"/>
    <col min="6" max="6" width="13.6640625" style="12" customWidth="1"/>
    <col min="7" max="7" width="13.44140625" style="12" bestFit="1" customWidth="1"/>
    <col min="8" max="8" width="12.44140625" style="12" bestFit="1" customWidth="1"/>
    <col min="9" max="9" width="11.21875" style="12" bestFit="1" customWidth="1"/>
    <col min="10" max="10" width="11.88671875" style="12" bestFit="1" customWidth="1"/>
    <col min="11" max="11" width="11.109375" style="12" bestFit="1" customWidth="1"/>
    <col min="12" max="12" width="8.44140625" style="12" bestFit="1" customWidth="1"/>
    <col min="13" max="13" width="14.33203125" style="12" bestFit="1" customWidth="1"/>
    <col min="14" max="18" width="8.88671875" style="12"/>
    <col min="19" max="19" width="12" style="12" bestFit="1" customWidth="1"/>
    <col min="20" max="16384" width="8.88671875" style="12"/>
  </cols>
  <sheetData>
    <row r="1" spans="1:19" s="10" customFormat="1" ht="19.95" customHeight="1">
      <c r="A1" s="9"/>
      <c r="B1" s="144" t="s">
        <v>287</v>
      </c>
      <c r="C1" s="145"/>
      <c r="D1" s="145"/>
      <c r="E1" s="145"/>
      <c r="F1" s="145"/>
      <c r="G1" s="145"/>
      <c r="H1" s="145"/>
      <c r="I1" s="145"/>
      <c r="J1" s="145"/>
      <c r="K1" s="145"/>
      <c r="L1" s="145"/>
      <c r="M1" s="145"/>
    </row>
    <row r="2" spans="1:19" ht="30.6" customHeight="1">
      <c r="A2" s="11"/>
      <c r="B2" s="145"/>
      <c r="C2" s="145"/>
      <c r="D2" s="145"/>
      <c r="E2" s="145"/>
      <c r="F2" s="145"/>
      <c r="G2" s="145"/>
      <c r="H2" s="145"/>
      <c r="I2" s="145"/>
      <c r="J2" s="145"/>
      <c r="K2" s="145"/>
      <c r="L2" s="145"/>
      <c r="M2" s="145"/>
    </row>
    <row r="3" spans="1:19" ht="30.6" customHeight="1" thickBot="1">
      <c r="A3" s="11"/>
      <c r="B3" s="140"/>
      <c r="C3" s="140"/>
      <c r="D3" s="140"/>
      <c r="E3" s="140"/>
      <c r="F3" s="140"/>
      <c r="G3" s="140"/>
      <c r="H3" s="140"/>
      <c r="I3" s="140"/>
      <c r="J3" s="140"/>
      <c r="K3" s="140"/>
      <c r="L3" s="140"/>
      <c r="M3" s="140"/>
    </row>
    <row r="4" spans="1:19" s="13" customFormat="1" ht="27.6" customHeight="1">
      <c r="A4" s="147" t="s">
        <v>0</v>
      </c>
      <c r="B4" s="149" t="s">
        <v>1</v>
      </c>
      <c r="C4" s="151" t="s">
        <v>2</v>
      </c>
      <c r="D4" s="151" t="s">
        <v>3</v>
      </c>
      <c r="E4" s="151" t="s">
        <v>4</v>
      </c>
      <c r="F4" s="151" t="s">
        <v>5</v>
      </c>
      <c r="G4" s="151" t="s">
        <v>166</v>
      </c>
      <c r="H4" s="151"/>
      <c r="I4" s="151" t="s">
        <v>6</v>
      </c>
      <c r="J4" s="151"/>
      <c r="K4" s="151" t="s">
        <v>7</v>
      </c>
      <c r="L4" s="151"/>
      <c r="M4" s="155" t="s">
        <v>8</v>
      </c>
    </row>
    <row r="5" spans="1:19" s="13" customFormat="1" ht="33.6" customHeight="1">
      <c r="A5" s="148"/>
      <c r="B5" s="150"/>
      <c r="C5" s="152"/>
      <c r="D5" s="152"/>
      <c r="E5" s="152"/>
      <c r="F5" s="152"/>
      <c r="G5" s="143" t="s">
        <v>9</v>
      </c>
      <c r="H5" s="143" t="s">
        <v>10</v>
      </c>
      <c r="I5" s="143" t="s">
        <v>9</v>
      </c>
      <c r="J5" s="143" t="s">
        <v>10</v>
      </c>
      <c r="K5" s="143" t="s">
        <v>9</v>
      </c>
      <c r="L5" s="143" t="s">
        <v>10</v>
      </c>
      <c r="M5" s="156"/>
    </row>
    <row r="6" spans="1:19" s="13" customFormat="1" ht="16.95" customHeight="1">
      <c r="A6" s="141">
        <v>1</v>
      </c>
      <c r="B6" s="141">
        <v>2</v>
      </c>
      <c r="C6" s="141">
        <v>3</v>
      </c>
      <c r="D6" s="141">
        <v>4</v>
      </c>
      <c r="E6" s="141">
        <v>5</v>
      </c>
      <c r="F6" s="141">
        <v>6</v>
      </c>
      <c r="G6" s="141">
        <v>7</v>
      </c>
      <c r="H6" s="141">
        <v>8</v>
      </c>
      <c r="I6" s="141">
        <v>9</v>
      </c>
      <c r="J6" s="141">
        <v>10</v>
      </c>
      <c r="K6" s="141">
        <v>11</v>
      </c>
      <c r="L6" s="141">
        <v>12</v>
      </c>
      <c r="M6" s="141">
        <v>13</v>
      </c>
    </row>
    <row r="7" spans="1:19" s="13" customFormat="1" ht="21.6" customHeight="1">
      <c r="A7" s="61"/>
      <c r="B7" s="62" t="s">
        <v>233</v>
      </c>
      <c r="C7" s="62" t="s">
        <v>234</v>
      </c>
      <c r="D7" s="63"/>
      <c r="E7" s="69"/>
      <c r="F7" s="69"/>
      <c r="G7" s="75"/>
      <c r="H7" s="75"/>
      <c r="I7" s="75"/>
      <c r="J7" s="75"/>
      <c r="K7" s="75"/>
      <c r="L7" s="75"/>
      <c r="M7" s="87"/>
    </row>
    <row r="8" spans="1:19" s="13" customFormat="1">
      <c r="A8" s="142">
        <v>1</v>
      </c>
      <c r="B8" s="208" t="s">
        <v>235</v>
      </c>
      <c r="C8" s="208" t="s">
        <v>236</v>
      </c>
      <c r="D8" s="50"/>
      <c r="E8" s="47"/>
      <c r="F8" s="47">
        <v>70</v>
      </c>
      <c r="G8" s="26"/>
      <c r="H8" s="26"/>
      <c r="I8" s="26"/>
      <c r="J8" s="26"/>
      <c r="K8" s="26"/>
      <c r="L8" s="26"/>
      <c r="M8" s="26"/>
    </row>
    <row r="9" spans="1:19" s="30" customFormat="1">
      <c r="A9" s="27"/>
      <c r="B9" s="209" t="s">
        <v>116</v>
      </c>
      <c r="C9" s="209" t="s">
        <v>237</v>
      </c>
      <c r="D9" s="53" t="s">
        <v>238</v>
      </c>
      <c r="E9" s="58">
        <v>1</v>
      </c>
      <c r="F9" s="59">
        <f>E9*F8</f>
        <v>70</v>
      </c>
      <c r="G9" s="29"/>
      <c r="H9" s="29"/>
      <c r="I9" s="29"/>
      <c r="J9" s="24">
        <f>I9*F9</f>
        <v>0</v>
      </c>
      <c r="K9" s="29"/>
      <c r="L9" s="29"/>
      <c r="M9" s="24">
        <f>L9+J9+H9</f>
        <v>0</v>
      </c>
      <c r="S9" s="13"/>
    </row>
    <row r="10" spans="1:19" s="30" customFormat="1">
      <c r="A10" s="27"/>
      <c r="B10" s="209" t="s">
        <v>239</v>
      </c>
      <c r="C10" s="209" t="s">
        <v>240</v>
      </c>
      <c r="D10" s="53" t="s">
        <v>241</v>
      </c>
      <c r="E10" s="58">
        <v>3.75</v>
      </c>
      <c r="F10" s="59">
        <f>E10*F8</f>
        <v>262.5</v>
      </c>
      <c r="G10" s="29"/>
      <c r="H10" s="24">
        <f>G10*F10</f>
        <v>0</v>
      </c>
      <c r="I10" s="29"/>
      <c r="J10" s="29"/>
      <c r="K10" s="29"/>
      <c r="L10" s="29"/>
      <c r="M10" s="24">
        <f>L10+J10+H10</f>
        <v>0</v>
      </c>
      <c r="S10" s="13"/>
    </row>
    <row r="11" spans="1:19" s="13" customFormat="1">
      <c r="A11" s="142">
        <v>2</v>
      </c>
      <c r="B11" s="208" t="s">
        <v>242</v>
      </c>
      <c r="C11" s="208" t="s">
        <v>243</v>
      </c>
      <c r="D11" s="50" t="s">
        <v>238</v>
      </c>
      <c r="E11" s="47"/>
      <c r="F11" s="47">
        <v>70</v>
      </c>
      <c r="G11" s="26"/>
      <c r="H11" s="26"/>
      <c r="I11" s="26"/>
      <c r="J11" s="26"/>
      <c r="K11" s="26"/>
      <c r="L11" s="26"/>
      <c r="M11" s="26"/>
    </row>
    <row r="12" spans="1:19" s="30" customFormat="1">
      <c r="A12" s="27"/>
      <c r="B12" s="209" t="s">
        <v>116</v>
      </c>
      <c r="C12" s="209" t="s">
        <v>237</v>
      </c>
      <c r="D12" s="53" t="s">
        <v>238</v>
      </c>
      <c r="E12" s="58">
        <v>1</v>
      </c>
      <c r="F12" s="59">
        <f>E12*F11</f>
        <v>70</v>
      </c>
      <c r="G12" s="29"/>
      <c r="H12" s="29"/>
      <c r="I12" s="29"/>
      <c r="J12" s="24">
        <f>I12*F12</f>
        <v>0</v>
      </c>
      <c r="K12" s="29"/>
      <c r="L12" s="29"/>
      <c r="M12" s="24">
        <f>L12+J12+H12</f>
        <v>0</v>
      </c>
      <c r="S12" s="13"/>
    </row>
    <row r="13" spans="1:19" s="30" customFormat="1">
      <c r="A13" s="27"/>
      <c r="B13" s="209" t="s">
        <v>244</v>
      </c>
      <c r="C13" s="209" t="s">
        <v>245</v>
      </c>
      <c r="D13" s="53" t="s">
        <v>238</v>
      </c>
      <c r="E13" s="58">
        <v>1.05</v>
      </c>
      <c r="F13" s="59">
        <f>E13*F11</f>
        <v>73.5</v>
      </c>
      <c r="G13" s="29"/>
      <c r="H13" s="24">
        <f>G13*F13</f>
        <v>0</v>
      </c>
      <c r="I13" s="29"/>
      <c r="J13" s="29"/>
      <c r="K13" s="29"/>
      <c r="L13" s="29"/>
      <c r="M13" s="24">
        <f>L13+J13+H13</f>
        <v>0</v>
      </c>
      <c r="S13" s="13"/>
    </row>
    <row r="14" spans="1:19" s="13" customFormat="1">
      <c r="A14" s="142">
        <v>3</v>
      </c>
      <c r="B14" s="208" t="s">
        <v>246</v>
      </c>
      <c r="C14" s="208" t="s">
        <v>247</v>
      </c>
      <c r="D14" s="50" t="s">
        <v>238</v>
      </c>
      <c r="E14" s="47"/>
      <c r="F14" s="47">
        <f>F11</f>
        <v>70</v>
      </c>
      <c r="G14" s="26"/>
      <c r="H14" s="26"/>
      <c r="I14" s="26"/>
      <c r="J14" s="26"/>
      <c r="K14" s="26"/>
      <c r="L14" s="26"/>
      <c r="M14" s="26"/>
    </row>
    <row r="15" spans="1:19">
      <c r="A15" s="22"/>
      <c r="B15" s="209" t="s">
        <v>116</v>
      </c>
      <c r="C15" s="209" t="s">
        <v>237</v>
      </c>
      <c r="D15" s="50" t="s">
        <v>238</v>
      </c>
      <c r="E15" s="49">
        <v>1</v>
      </c>
      <c r="F15" s="49">
        <f>E15*F14</f>
        <v>70</v>
      </c>
      <c r="G15" s="24"/>
      <c r="H15" s="24">
        <f>G15*F15</f>
        <v>0</v>
      </c>
      <c r="I15" s="24"/>
      <c r="J15" s="24">
        <f>I15*F15</f>
        <v>0</v>
      </c>
      <c r="K15" s="24"/>
      <c r="L15" s="24"/>
      <c r="M15" s="24">
        <f>L15+J15+H15</f>
        <v>0</v>
      </c>
    </row>
    <row r="16" spans="1:19">
      <c r="A16" s="22"/>
      <c r="B16" s="209" t="s">
        <v>248</v>
      </c>
      <c r="C16" s="209" t="s">
        <v>249</v>
      </c>
      <c r="D16" s="210" t="s">
        <v>238</v>
      </c>
      <c r="E16" s="49">
        <v>1.03</v>
      </c>
      <c r="F16" s="49">
        <f>E16*F14</f>
        <v>72.100000000000009</v>
      </c>
      <c r="G16" s="24"/>
      <c r="H16" s="24">
        <f>G16*F16</f>
        <v>0</v>
      </c>
      <c r="I16" s="24"/>
      <c r="J16" s="24">
        <f>I16*F16</f>
        <v>0</v>
      </c>
      <c r="K16" s="24"/>
      <c r="L16" s="24"/>
      <c r="M16" s="24">
        <f>L16+J16+H16</f>
        <v>0</v>
      </c>
    </row>
    <row r="17" spans="1:13">
      <c r="A17" s="22"/>
      <c r="B17" s="209" t="s">
        <v>250</v>
      </c>
      <c r="C17" s="209" t="s">
        <v>251</v>
      </c>
      <c r="D17" s="210" t="s">
        <v>252</v>
      </c>
      <c r="E17" s="49">
        <v>1</v>
      </c>
      <c r="F17" s="49">
        <f>E17*F14</f>
        <v>70</v>
      </c>
      <c r="G17" s="24"/>
      <c r="H17" s="24">
        <f>G17*F17</f>
        <v>0</v>
      </c>
      <c r="I17" s="24"/>
      <c r="J17" s="24">
        <f>I17*F17</f>
        <v>0</v>
      </c>
      <c r="K17" s="24"/>
      <c r="L17" s="24"/>
      <c r="M17" s="24">
        <f>L17+J17+H17</f>
        <v>0</v>
      </c>
    </row>
    <row r="18" spans="1:13" s="13" customFormat="1">
      <c r="A18" s="142">
        <v>4</v>
      </c>
      <c r="B18" s="208" t="s">
        <v>253</v>
      </c>
      <c r="C18" s="208" t="s">
        <v>254</v>
      </c>
      <c r="D18" s="50" t="s">
        <v>238</v>
      </c>
      <c r="E18" s="47"/>
      <c r="F18" s="47">
        <f>F14</f>
        <v>70</v>
      </c>
      <c r="G18" s="26"/>
      <c r="H18" s="26"/>
      <c r="I18" s="26"/>
      <c r="J18" s="26"/>
      <c r="K18" s="26"/>
      <c r="L18" s="26"/>
      <c r="M18" s="26"/>
    </row>
    <row r="19" spans="1:13" s="30" customFormat="1">
      <c r="A19" s="27"/>
      <c r="B19" s="209" t="s">
        <v>116</v>
      </c>
      <c r="C19" s="209" t="s">
        <v>237</v>
      </c>
      <c r="D19" s="53" t="s">
        <v>238</v>
      </c>
      <c r="E19" s="58">
        <v>1</v>
      </c>
      <c r="F19" s="59">
        <f>E19*F18</f>
        <v>70</v>
      </c>
      <c r="G19" s="29"/>
      <c r="H19" s="29"/>
      <c r="I19" s="29"/>
      <c r="J19" s="24">
        <f>I19*F19</f>
        <v>0</v>
      </c>
      <c r="K19" s="29"/>
      <c r="L19" s="29"/>
      <c r="M19" s="24">
        <f>L19+J19+H19</f>
        <v>0</v>
      </c>
    </row>
    <row r="20" spans="1:13" s="30" customFormat="1">
      <c r="A20" s="27"/>
      <c r="B20" s="209" t="s">
        <v>253</v>
      </c>
      <c r="C20" s="209" t="s">
        <v>254</v>
      </c>
      <c r="D20" s="53" t="s">
        <v>238</v>
      </c>
      <c r="E20" s="58">
        <v>1.05</v>
      </c>
      <c r="F20" s="59">
        <f>E20*F18</f>
        <v>73.5</v>
      </c>
      <c r="G20" s="29"/>
      <c r="H20" s="24">
        <f>G20*F20</f>
        <v>0</v>
      </c>
      <c r="I20" s="29"/>
      <c r="J20" s="29"/>
      <c r="K20" s="29"/>
      <c r="L20" s="29"/>
      <c r="M20" s="24">
        <f>L20+J20+H20</f>
        <v>0</v>
      </c>
    </row>
    <row r="21" spans="1:13">
      <c r="A21" s="22"/>
      <c r="B21" s="209" t="s">
        <v>250</v>
      </c>
      <c r="C21" s="209" t="s">
        <v>251</v>
      </c>
      <c r="D21" s="210" t="s">
        <v>252</v>
      </c>
      <c r="E21" s="49">
        <v>1</v>
      </c>
      <c r="F21" s="49">
        <f>E21*F18</f>
        <v>70</v>
      </c>
      <c r="G21" s="24"/>
      <c r="H21" s="24">
        <f>G21*F21</f>
        <v>0</v>
      </c>
      <c r="I21" s="24"/>
      <c r="J21" s="24">
        <f>I21*F21</f>
        <v>0</v>
      </c>
      <c r="K21" s="24"/>
      <c r="L21" s="24"/>
      <c r="M21" s="24">
        <f>L21+J21+H21</f>
        <v>0</v>
      </c>
    </row>
    <row r="22" spans="1:13" s="13" customFormat="1">
      <c r="A22" s="142">
        <v>5</v>
      </c>
      <c r="B22" s="208" t="s">
        <v>255</v>
      </c>
      <c r="C22" s="208" t="s">
        <v>256</v>
      </c>
      <c r="D22" s="50" t="s">
        <v>238</v>
      </c>
      <c r="E22" s="47"/>
      <c r="F22" s="47">
        <f>F18</f>
        <v>70</v>
      </c>
      <c r="G22" s="26"/>
      <c r="H22" s="26"/>
      <c r="I22" s="26"/>
      <c r="J22" s="26"/>
      <c r="K22" s="26"/>
      <c r="L22" s="26"/>
      <c r="M22" s="26"/>
    </row>
    <row r="23" spans="1:13" s="30" customFormat="1">
      <c r="A23" s="27"/>
      <c r="B23" s="209" t="s">
        <v>116</v>
      </c>
      <c r="C23" s="209" t="s">
        <v>237</v>
      </c>
      <c r="D23" s="53" t="s">
        <v>238</v>
      </c>
      <c r="E23" s="58">
        <v>1</v>
      </c>
      <c r="F23" s="59">
        <f>E23*F22</f>
        <v>70</v>
      </c>
      <c r="G23" s="29"/>
      <c r="H23" s="29"/>
      <c r="I23" s="29"/>
      <c r="J23" s="24">
        <f>I23*F23</f>
        <v>0</v>
      </c>
      <c r="K23" s="29"/>
      <c r="L23" s="29"/>
      <c r="M23" s="24">
        <f>L23+J23+H23</f>
        <v>0</v>
      </c>
    </row>
    <row r="24" spans="1:13" s="30" customFormat="1">
      <c r="A24" s="27"/>
      <c r="B24" s="209" t="s">
        <v>255</v>
      </c>
      <c r="C24" s="209" t="s">
        <v>256</v>
      </c>
      <c r="D24" s="53" t="s">
        <v>238</v>
      </c>
      <c r="E24" s="58">
        <v>1.05</v>
      </c>
      <c r="F24" s="59">
        <f>E24*F22</f>
        <v>73.5</v>
      </c>
      <c r="G24" s="29"/>
      <c r="H24" s="24">
        <f>G24*F24</f>
        <v>0</v>
      </c>
      <c r="I24" s="29"/>
      <c r="J24" s="29"/>
      <c r="K24" s="29"/>
      <c r="L24" s="29"/>
      <c r="M24" s="24">
        <f>L24+J24+H24</f>
        <v>0</v>
      </c>
    </row>
    <row r="25" spans="1:13">
      <c r="A25" s="22"/>
      <c r="B25" s="209" t="s">
        <v>250</v>
      </c>
      <c r="C25" s="209" t="s">
        <v>251</v>
      </c>
      <c r="D25" s="210" t="s">
        <v>252</v>
      </c>
      <c r="E25" s="49">
        <v>1</v>
      </c>
      <c r="F25" s="49">
        <f>E25*F22</f>
        <v>70</v>
      </c>
      <c r="G25" s="24"/>
      <c r="H25" s="24">
        <f>G25*F25</f>
        <v>0</v>
      </c>
      <c r="I25" s="24"/>
      <c r="J25" s="24">
        <f>I25*F25</f>
        <v>0</v>
      </c>
      <c r="K25" s="24"/>
      <c r="L25" s="24"/>
      <c r="M25" s="24">
        <f>L25+J25+H25</f>
        <v>0</v>
      </c>
    </row>
    <row r="26" spans="1:13" s="13" customFormat="1">
      <c r="A26" s="142">
        <v>6</v>
      </c>
      <c r="B26" s="208" t="s">
        <v>257</v>
      </c>
      <c r="C26" s="208" t="s">
        <v>258</v>
      </c>
      <c r="D26" s="50" t="s">
        <v>16</v>
      </c>
      <c r="E26" s="47"/>
      <c r="F26" s="47">
        <v>70</v>
      </c>
      <c r="G26" s="88"/>
      <c r="H26" s="88"/>
      <c r="I26" s="88"/>
      <c r="J26" s="88"/>
      <c r="K26" s="88"/>
      <c r="L26" s="88"/>
      <c r="M26" s="88"/>
    </row>
    <row r="27" spans="1:13" s="30" customFormat="1">
      <c r="A27" s="27"/>
      <c r="B27" s="209" t="s">
        <v>116</v>
      </c>
      <c r="C27" s="209" t="s">
        <v>237</v>
      </c>
      <c r="D27" s="53" t="s">
        <v>16</v>
      </c>
      <c r="E27" s="58">
        <v>1</v>
      </c>
      <c r="F27" s="59">
        <f>E27*$F$26</f>
        <v>70</v>
      </c>
      <c r="G27" s="29"/>
      <c r="H27" s="29"/>
      <c r="I27" s="29"/>
      <c r="J27" s="24">
        <f>I27*F27</f>
        <v>0</v>
      </c>
      <c r="K27" s="29"/>
      <c r="L27" s="29"/>
      <c r="M27" s="24">
        <f>L27+J27+H27</f>
        <v>0</v>
      </c>
    </row>
    <row r="28" spans="1:13" s="30" customFormat="1">
      <c r="A28" s="27"/>
      <c r="B28" s="209" t="s">
        <v>259</v>
      </c>
      <c r="C28" s="209" t="s">
        <v>260</v>
      </c>
      <c r="D28" s="53" t="s">
        <v>16</v>
      </c>
      <c r="E28" s="58">
        <v>1.02</v>
      </c>
      <c r="F28" s="59">
        <f>E28*$F$26</f>
        <v>71.400000000000006</v>
      </c>
      <c r="G28" s="29"/>
      <c r="H28" s="24">
        <f>G28*F28</f>
        <v>0</v>
      </c>
      <c r="I28" s="29"/>
      <c r="J28" s="24"/>
      <c r="K28" s="29"/>
      <c r="L28" s="29"/>
      <c r="M28" s="24">
        <f>L28+J28+H28</f>
        <v>0</v>
      </c>
    </row>
    <row r="29" spans="1:13" s="30" customFormat="1">
      <c r="A29" s="27"/>
      <c r="B29" s="209" t="s">
        <v>250</v>
      </c>
      <c r="C29" s="209" t="s">
        <v>251</v>
      </c>
      <c r="D29" s="53" t="s">
        <v>40</v>
      </c>
      <c r="E29" s="58">
        <v>0.14000000000000001</v>
      </c>
      <c r="F29" s="59">
        <f>E29*$F$26</f>
        <v>9.8000000000000007</v>
      </c>
      <c r="G29" s="29"/>
      <c r="H29" s="24">
        <f>G29*F29</f>
        <v>0</v>
      </c>
      <c r="I29" s="29"/>
      <c r="J29" s="24"/>
      <c r="K29" s="29"/>
      <c r="L29" s="29"/>
      <c r="M29" s="24">
        <f>L29+J29+H29</f>
        <v>0</v>
      </c>
    </row>
    <row r="30" spans="1:13" s="13" customFormat="1" ht="21.6" customHeight="1">
      <c r="A30" s="61"/>
      <c r="B30" s="200" t="s">
        <v>261</v>
      </c>
      <c r="C30" s="200" t="s">
        <v>262</v>
      </c>
      <c r="D30" s="201"/>
      <c r="E30" s="89"/>
      <c r="F30" s="89"/>
      <c r="G30" s="70"/>
      <c r="H30" s="70"/>
      <c r="I30" s="70"/>
      <c r="J30" s="70"/>
      <c r="K30" s="70"/>
      <c r="L30" s="70"/>
      <c r="M30" s="71"/>
    </row>
    <row r="31" spans="1:13" s="13" customFormat="1" ht="24">
      <c r="A31" s="142">
        <v>7</v>
      </c>
      <c r="B31" s="211" t="s">
        <v>411</v>
      </c>
      <c r="C31" s="211" t="s">
        <v>410</v>
      </c>
      <c r="D31" s="50" t="s">
        <v>238</v>
      </c>
      <c r="E31" s="47"/>
      <c r="F31" s="47">
        <v>70</v>
      </c>
      <c r="G31" s="26"/>
      <c r="H31" s="26"/>
      <c r="I31" s="26"/>
      <c r="J31" s="26"/>
      <c r="K31" s="26"/>
      <c r="L31" s="26"/>
      <c r="M31" s="26"/>
    </row>
    <row r="32" spans="1:13">
      <c r="A32" s="22"/>
      <c r="B32" s="209" t="s">
        <v>116</v>
      </c>
      <c r="C32" s="209" t="s">
        <v>237</v>
      </c>
      <c r="D32" s="50" t="s">
        <v>238</v>
      </c>
      <c r="E32" s="49">
        <v>1</v>
      </c>
      <c r="F32" s="49">
        <f>E32*F31</f>
        <v>70</v>
      </c>
      <c r="G32" s="24"/>
      <c r="H32" s="24"/>
      <c r="I32" s="24"/>
      <c r="J32" s="24">
        <f>I32*F32</f>
        <v>0</v>
      </c>
      <c r="K32" s="24"/>
      <c r="L32" s="24"/>
      <c r="M32" s="24">
        <f t="shared" ref="M32:M37" si="0">L32+J32+H32</f>
        <v>0</v>
      </c>
    </row>
    <row r="33" spans="1:20">
      <c r="A33" s="22"/>
      <c r="B33" s="209" t="s">
        <v>263</v>
      </c>
      <c r="C33" s="209" t="s">
        <v>264</v>
      </c>
      <c r="D33" s="210" t="s">
        <v>265</v>
      </c>
      <c r="E33" s="49" t="s">
        <v>266</v>
      </c>
      <c r="F33" s="48">
        <v>16</v>
      </c>
      <c r="G33" s="24"/>
      <c r="H33" s="24">
        <f>G33*F33</f>
        <v>0</v>
      </c>
      <c r="I33" s="24"/>
      <c r="J33" s="24"/>
      <c r="K33" s="24"/>
      <c r="L33" s="24"/>
      <c r="M33" s="24">
        <f t="shared" si="0"/>
        <v>0</v>
      </c>
    </row>
    <row r="34" spans="1:20">
      <c r="A34" s="22"/>
      <c r="B34" s="209" t="s">
        <v>267</v>
      </c>
      <c r="C34" s="209" t="s">
        <v>268</v>
      </c>
      <c r="D34" s="210" t="s">
        <v>265</v>
      </c>
      <c r="E34" s="49" t="s">
        <v>266</v>
      </c>
      <c r="F34" s="48">
        <v>9</v>
      </c>
      <c r="G34" s="24"/>
      <c r="H34" s="24">
        <f>G34*F34</f>
        <v>0</v>
      </c>
      <c r="I34" s="24"/>
      <c r="J34" s="24"/>
      <c r="K34" s="24"/>
      <c r="L34" s="24"/>
      <c r="M34" s="24">
        <f t="shared" si="0"/>
        <v>0</v>
      </c>
    </row>
    <row r="35" spans="1:20">
      <c r="A35" s="22"/>
      <c r="B35" s="209" t="s">
        <v>269</v>
      </c>
      <c r="C35" s="209" t="s">
        <v>270</v>
      </c>
      <c r="D35" s="210" t="s">
        <v>265</v>
      </c>
      <c r="E35" s="49" t="s">
        <v>266</v>
      </c>
      <c r="F35" s="48">
        <v>23</v>
      </c>
      <c r="G35" s="24"/>
      <c r="H35" s="24">
        <f>G35*F35</f>
        <v>0</v>
      </c>
      <c r="I35" s="24"/>
      <c r="J35" s="24"/>
      <c r="K35" s="24"/>
      <c r="L35" s="24"/>
      <c r="M35" s="24">
        <f t="shared" si="0"/>
        <v>0</v>
      </c>
    </row>
    <row r="36" spans="1:20">
      <c r="A36" s="22"/>
      <c r="B36" s="209" t="s">
        <v>271</v>
      </c>
      <c r="C36" s="209" t="s">
        <v>272</v>
      </c>
      <c r="D36" s="210" t="s">
        <v>265</v>
      </c>
      <c r="E36" s="49" t="s">
        <v>266</v>
      </c>
      <c r="F36" s="48">
        <v>142</v>
      </c>
      <c r="G36" s="24"/>
      <c r="H36" s="24">
        <f>G36*F36</f>
        <v>0</v>
      </c>
      <c r="I36" s="24"/>
      <c r="J36" s="24"/>
      <c r="K36" s="24"/>
      <c r="L36" s="24"/>
      <c r="M36" s="24">
        <f t="shared" si="0"/>
        <v>0</v>
      </c>
    </row>
    <row r="37" spans="1:20">
      <c r="A37" s="22"/>
      <c r="B37" s="209" t="s">
        <v>273</v>
      </c>
      <c r="C37" s="209" t="s">
        <v>274</v>
      </c>
      <c r="D37" s="210" t="s">
        <v>265</v>
      </c>
      <c r="E37" s="49" t="s">
        <v>266</v>
      </c>
      <c r="F37" s="48">
        <v>16</v>
      </c>
      <c r="G37" s="24"/>
      <c r="H37" s="24">
        <f>G37*F37</f>
        <v>0</v>
      </c>
      <c r="I37" s="24"/>
      <c r="J37" s="24"/>
      <c r="K37" s="24"/>
      <c r="L37" s="24"/>
      <c r="M37" s="24">
        <f t="shared" si="0"/>
        <v>0</v>
      </c>
    </row>
    <row r="38" spans="1:20">
      <c r="A38" s="22"/>
      <c r="B38" s="209" t="s">
        <v>275</v>
      </c>
      <c r="C38" s="209" t="s">
        <v>276</v>
      </c>
      <c r="D38" s="53" t="s">
        <v>40</v>
      </c>
      <c r="E38" s="49">
        <v>0.5</v>
      </c>
      <c r="F38" s="48">
        <f>E38*F31</f>
        <v>35</v>
      </c>
      <c r="G38" s="24"/>
      <c r="H38" s="24"/>
      <c r="I38" s="24"/>
      <c r="J38" s="24"/>
      <c r="K38" s="24"/>
      <c r="L38" s="24"/>
      <c r="M38" s="24"/>
    </row>
    <row r="39" spans="1:20" s="13" customFormat="1">
      <c r="A39" s="142">
        <v>8</v>
      </c>
      <c r="B39" s="208" t="s">
        <v>277</v>
      </c>
      <c r="C39" s="208" t="s">
        <v>278</v>
      </c>
      <c r="D39" s="50"/>
      <c r="E39" s="47"/>
      <c r="F39" s="47"/>
      <c r="G39" s="26"/>
      <c r="H39" s="26"/>
      <c r="I39" s="26"/>
      <c r="J39" s="26"/>
      <c r="K39" s="26"/>
      <c r="L39" s="26"/>
      <c r="M39" s="26"/>
    </row>
    <row r="40" spans="1:20">
      <c r="A40" s="22"/>
      <c r="B40" s="209" t="s">
        <v>279</v>
      </c>
      <c r="C40" s="209" t="s">
        <v>280</v>
      </c>
      <c r="D40" s="210" t="s">
        <v>265</v>
      </c>
      <c r="E40" s="49" t="s">
        <v>266</v>
      </c>
      <c r="F40" s="48">
        <v>4.2</v>
      </c>
      <c r="G40" s="24"/>
      <c r="H40" s="24">
        <f>G40*F40</f>
        <v>0</v>
      </c>
      <c r="I40" s="24"/>
      <c r="J40" s="24">
        <f>I40*F40</f>
        <v>0</v>
      </c>
      <c r="K40" s="24"/>
      <c r="L40" s="24"/>
      <c r="M40" s="24">
        <f>L40+J40+H40</f>
        <v>0</v>
      </c>
      <c r="N40" s="13"/>
      <c r="O40" s="13"/>
      <c r="P40" s="13"/>
      <c r="Q40" s="13"/>
      <c r="R40" s="13"/>
      <c r="S40" s="13"/>
    </row>
    <row r="41" spans="1:20">
      <c r="A41" s="22"/>
      <c r="B41" s="209" t="s">
        <v>161</v>
      </c>
      <c r="C41" s="209" t="s">
        <v>162</v>
      </c>
      <c r="D41" s="210" t="s">
        <v>265</v>
      </c>
      <c r="E41" s="49" t="s">
        <v>266</v>
      </c>
      <c r="F41" s="48">
        <f>28.8+2.88+19.2</f>
        <v>50.879999999999995</v>
      </c>
      <c r="G41" s="24"/>
      <c r="H41" s="24">
        <f>G41*F41</f>
        <v>0</v>
      </c>
      <c r="I41" s="24"/>
      <c r="J41" s="24"/>
      <c r="K41" s="24"/>
      <c r="L41" s="24"/>
      <c r="M41" s="24">
        <f>L41+J41+H41</f>
        <v>0</v>
      </c>
      <c r="N41" s="13"/>
      <c r="O41" s="13"/>
      <c r="P41" s="13"/>
      <c r="Q41" s="13"/>
      <c r="R41" s="13"/>
      <c r="S41" s="13"/>
    </row>
    <row r="42" spans="1:20">
      <c r="A42" s="22"/>
      <c r="B42" s="209" t="s">
        <v>281</v>
      </c>
      <c r="C42" s="209" t="s">
        <v>282</v>
      </c>
      <c r="D42" s="210" t="s">
        <v>265</v>
      </c>
      <c r="E42" s="49" t="s">
        <v>266</v>
      </c>
      <c r="F42" s="48">
        <v>1</v>
      </c>
      <c r="G42" s="24"/>
      <c r="H42" s="24">
        <f>G42*F42</f>
        <v>0</v>
      </c>
      <c r="I42" s="24"/>
      <c r="J42" s="24"/>
      <c r="K42" s="24"/>
      <c r="L42" s="24"/>
      <c r="M42" s="24">
        <f>L42+J42+H42</f>
        <v>0</v>
      </c>
      <c r="N42" s="13"/>
      <c r="O42" s="13"/>
      <c r="P42" s="13"/>
      <c r="Q42" s="13"/>
      <c r="R42" s="13"/>
      <c r="S42" s="13"/>
    </row>
    <row r="43" spans="1:20">
      <c r="A43" s="22"/>
      <c r="B43" s="209" t="s">
        <v>283</v>
      </c>
      <c r="C43" s="209" t="s">
        <v>284</v>
      </c>
      <c r="D43" s="210" t="s">
        <v>265</v>
      </c>
      <c r="E43" s="49" t="s">
        <v>266</v>
      </c>
      <c r="F43" s="48">
        <v>2.8</v>
      </c>
      <c r="G43" s="24"/>
      <c r="H43" s="24">
        <f>G43*F43</f>
        <v>0</v>
      </c>
      <c r="I43" s="24"/>
      <c r="J43" s="24"/>
      <c r="K43" s="24"/>
      <c r="L43" s="24"/>
      <c r="M43" s="24">
        <f>L43+J43+H43</f>
        <v>0</v>
      </c>
      <c r="N43" s="13"/>
      <c r="O43" s="13"/>
      <c r="P43" s="13"/>
      <c r="Q43" s="13"/>
      <c r="R43" s="13"/>
      <c r="S43" s="13"/>
    </row>
    <row r="44" spans="1:20" s="20" customFormat="1" ht="19.95" customHeight="1">
      <c r="A44" s="14"/>
      <c r="B44" s="32" t="s">
        <v>38</v>
      </c>
      <c r="C44" s="143" t="s">
        <v>39</v>
      </c>
      <c r="D44" s="1"/>
      <c r="E44" s="23"/>
      <c r="F44" s="23"/>
      <c r="G44" s="73"/>
      <c r="H44" s="26">
        <f>SUM(H7:H43)</f>
        <v>0</v>
      </c>
      <c r="I44" s="26"/>
      <c r="J44" s="26">
        <f>SUM(J7:J43)</f>
        <v>0</v>
      </c>
      <c r="K44" s="26"/>
      <c r="L44" s="26">
        <f>SUM(L7:L43)</f>
        <v>0</v>
      </c>
      <c r="M44" s="26">
        <f>SUM(M7:M43)</f>
        <v>0</v>
      </c>
      <c r="P44" s="12"/>
      <c r="Q44" s="12"/>
      <c r="R44" s="12"/>
      <c r="S44" s="12"/>
      <c r="T44" s="12"/>
    </row>
    <row r="45" spans="1:20" s="20" customFormat="1" ht="31.95" customHeight="1">
      <c r="A45" s="14"/>
      <c r="B45" s="36" t="s">
        <v>285</v>
      </c>
      <c r="C45" s="143" t="s">
        <v>286</v>
      </c>
      <c r="D45" s="37">
        <v>0</v>
      </c>
      <c r="E45" s="1"/>
      <c r="F45" s="18"/>
      <c r="G45" s="8"/>
      <c r="H45" s="8"/>
      <c r="I45" s="8"/>
      <c r="J45" s="8"/>
      <c r="K45" s="8"/>
      <c r="L45" s="8"/>
      <c r="M45" s="38">
        <f>(H44)*D45</f>
        <v>0</v>
      </c>
      <c r="P45" s="12"/>
      <c r="Q45" s="12"/>
      <c r="R45" s="12"/>
      <c r="S45" s="12"/>
      <c r="T45" s="12"/>
    </row>
    <row r="46" spans="1:20" s="20" customFormat="1" ht="19.95" customHeight="1">
      <c r="A46" s="14"/>
      <c r="B46" s="32" t="s">
        <v>38</v>
      </c>
      <c r="C46" s="143" t="s">
        <v>39</v>
      </c>
      <c r="D46" s="2"/>
      <c r="E46" s="1"/>
      <c r="F46" s="18"/>
      <c r="G46" s="8"/>
      <c r="H46" s="8"/>
      <c r="I46" s="8"/>
      <c r="J46" s="8"/>
      <c r="K46" s="8"/>
      <c r="L46" s="8"/>
      <c r="M46" s="38">
        <f>M45+M44</f>
        <v>0</v>
      </c>
      <c r="P46" s="12"/>
      <c r="Q46" s="12"/>
      <c r="R46" s="12"/>
      <c r="S46" s="12"/>
      <c r="T46" s="12"/>
    </row>
    <row r="47" spans="1:20" s="20" customFormat="1" ht="19.95" customHeight="1">
      <c r="A47" s="14"/>
      <c r="B47" s="32" t="s">
        <v>43</v>
      </c>
      <c r="C47" s="39" t="s">
        <v>44</v>
      </c>
      <c r="D47" s="2">
        <v>0</v>
      </c>
      <c r="E47" s="1"/>
      <c r="F47" s="1"/>
      <c r="G47" s="8"/>
      <c r="H47" s="8"/>
      <c r="I47" s="8"/>
      <c r="J47" s="8"/>
      <c r="K47" s="8"/>
      <c r="L47" s="8"/>
      <c r="M47" s="31">
        <f>M46*D47</f>
        <v>0</v>
      </c>
      <c r="P47" s="12"/>
      <c r="Q47" s="12"/>
      <c r="R47" s="12"/>
      <c r="S47" s="12"/>
      <c r="T47" s="12"/>
    </row>
    <row r="48" spans="1:20" s="20" customFormat="1" ht="19.95" customHeight="1">
      <c r="A48" s="14"/>
      <c r="B48" s="32" t="s">
        <v>38</v>
      </c>
      <c r="C48" s="143" t="s">
        <v>39</v>
      </c>
      <c r="D48" s="2"/>
      <c r="E48" s="1"/>
      <c r="F48" s="1"/>
      <c r="G48" s="8"/>
      <c r="H48" s="8"/>
      <c r="I48" s="8"/>
      <c r="J48" s="8"/>
      <c r="K48" s="8"/>
      <c r="L48" s="8"/>
      <c r="M48" s="38">
        <f>SUM(M46:M47)</f>
        <v>0</v>
      </c>
      <c r="P48" s="12"/>
      <c r="Q48" s="12"/>
      <c r="R48" s="12"/>
      <c r="S48" s="12"/>
      <c r="T48" s="12"/>
    </row>
    <row r="49" spans="1:20" s="20" customFormat="1" ht="19.95" customHeight="1">
      <c r="A49" s="14"/>
      <c r="B49" s="32" t="s">
        <v>45</v>
      </c>
      <c r="C49" s="39" t="s">
        <v>46</v>
      </c>
      <c r="D49" s="2">
        <v>0</v>
      </c>
      <c r="E49" s="1"/>
      <c r="F49" s="1"/>
      <c r="G49" s="8"/>
      <c r="H49" s="8"/>
      <c r="I49" s="8"/>
      <c r="J49" s="8"/>
      <c r="K49" s="8"/>
      <c r="L49" s="8"/>
      <c r="M49" s="31">
        <f>M48*D49</f>
        <v>0</v>
      </c>
      <c r="P49" s="12"/>
      <c r="Q49" s="12"/>
      <c r="R49" s="12"/>
      <c r="S49" s="12"/>
      <c r="T49" s="12"/>
    </row>
    <row r="50" spans="1:20" s="20" customFormat="1" ht="19.95" customHeight="1">
      <c r="A50" s="14"/>
      <c r="B50" s="32" t="s">
        <v>38</v>
      </c>
      <c r="C50" s="143" t="s">
        <v>39</v>
      </c>
      <c r="D50" s="2"/>
      <c r="E50" s="1"/>
      <c r="F50" s="1"/>
      <c r="G50" s="8"/>
      <c r="H50" s="8"/>
      <c r="I50" s="8"/>
      <c r="J50" s="8"/>
      <c r="K50" s="8"/>
      <c r="L50" s="8"/>
      <c r="M50" s="40">
        <f>SUM(M48:M49)</f>
        <v>0</v>
      </c>
      <c r="P50" s="12"/>
      <c r="Q50" s="12"/>
      <c r="R50" s="12"/>
      <c r="S50" s="12"/>
      <c r="T50" s="12"/>
    </row>
    <row r="51" spans="1:20" s="20" customFormat="1" ht="19.95" customHeight="1">
      <c r="A51" s="14"/>
      <c r="B51" s="32" t="s">
        <v>163</v>
      </c>
      <c r="C51" s="39" t="s">
        <v>164</v>
      </c>
      <c r="D51" s="2">
        <v>0</v>
      </c>
      <c r="E51" s="1"/>
      <c r="F51" s="1"/>
      <c r="G51" s="8"/>
      <c r="H51" s="8"/>
      <c r="I51" s="8"/>
      <c r="J51" s="8"/>
      <c r="K51" s="8"/>
      <c r="L51" s="8"/>
      <c r="M51" s="31">
        <f>M50*D51</f>
        <v>0</v>
      </c>
    </row>
    <row r="52" spans="1:20" s="20" customFormat="1" ht="19.95" customHeight="1">
      <c r="A52" s="14"/>
      <c r="B52" s="36" t="s">
        <v>38</v>
      </c>
      <c r="C52" s="36" t="s">
        <v>39</v>
      </c>
      <c r="D52" s="1" t="s">
        <v>40</v>
      </c>
      <c r="E52" s="1"/>
      <c r="F52" s="1"/>
      <c r="G52" s="8"/>
      <c r="H52" s="8"/>
      <c r="I52" s="8"/>
      <c r="J52" s="8"/>
      <c r="K52" s="8"/>
      <c r="L52" s="8"/>
      <c r="M52" s="38">
        <f>M51+M50</f>
        <v>0</v>
      </c>
    </row>
    <row r="53" spans="1:20" s="20" customFormat="1" ht="19.95" customHeight="1">
      <c r="A53" s="14"/>
      <c r="B53" s="32" t="s">
        <v>47</v>
      </c>
      <c r="C53" s="39" t="s">
        <v>48</v>
      </c>
      <c r="D53" s="2">
        <v>0.18</v>
      </c>
      <c r="E53" s="1"/>
      <c r="F53" s="1"/>
      <c r="G53" s="8"/>
      <c r="H53" s="8"/>
      <c r="I53" s="8"/>
      <c r="J53" s="8"/>
      <c r="K53" s="8"/>
      <c r="L53" s="8"/>
      <c r="M53" s="31">
        <f>M52*D53</f>
        <v>0</v>
      </c>
    </row>
    <row r="54" spans="1:20" s="20" customFormat="1" ht="25.95" customHeight="1" thickBot="1">
      <c r="A54" s="41"/>
      <c r="B54" s="42" t="s">
        <v>49</v>
      </c>
      <c r="C54" s="43" t="s">
        <v>50</v>
      </c>
      <c r="D54" s="44" t="s">
        <v>40</v>
      </c>
      <c r="E54" s="44"/>
      <c r="F54" s="44"/>
      <c r="G54" s="45"/>
      <c r="H54" s="45"/>
      <c r="I54" s="45"/>
      <c r="J54" s="45"/>
      <c r="K54" s="45"/>
      <c r="L54" s="45"/>
      <c r="M54" s="46">
        <f>SUM(M52:M53)</f>
        <v>0</v>
      </c>
    </row>
  </sheetData>
  <sheetProtection algorithmName="SHA-512" hashValue="7kvU2fWL98MkupZIP4QK9W74+TtiTcPnbYFGZWNwmPAuTh80Ytq04IsLbd9YoLMy5bqHfdIzkmIqSJVK0yK9zg==" saltValue="BGYJRs3KTSz3kdCvmQTmjg==" spinCount="100000" sheet="1" objects="1" scenarios="1" formatCells="0" formatColumns="0" formatRows="0"/>
  <protectedRanges>
    <protectedRange sqref="D47 D49" name="Range4_1_1"/>
    <protectedRange sqref="D51" name="Range4_1_1_2_1_1"/>
  </protectedRanges>
  <mergeCells count="11">
    <mergeCell ref="M4:M5"/>
    <mergeCell ref="B1:M2"/>
    <mergeCell ref="A4:A5"/>
    <mergeCell ref="B4:B5"/>
    <mergeCell ref="C4:C5"/>
    <mergeCell ref="D4:D5"/>
    <mergeCell ref="E4:E5"/>
    <mergeCell ref="F4:F5"/>
    <mergeCell ref="G4:H4"/>
    <mergeCell ref="I4:J4"/>
    <mergeCell ref="K4: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1672-2D34-4E52-9C84-A7BE9C39193A}">
  <dimension ref="A1:M126"/>
  <sheetViews>
    <sheetView zoomScale="70" zoomScaleNormal="70" workbookViewId="0">
      <pane xSplit="3" ySplit="7" topLeftCell="D107" activePane="bottomRight" state="frozen"/>
      <selection activeCell="E415" sqref="E415"/>
      <selection pane="topRight" activeCell="E415" sqref="E415"/>
      <selection pane="bottomLeft" activeCell="E415" sqref="E415"/>
      <selection pane="bottomRight" activeCell="F117" sqref="F117"/>
    </sheetView>
  </sheetViews>
  <sheetFormatPr defaultRowHeight="14.4"/>
  <cols>
    <col min="1" max="1" width="17.77734375" style="12" customWidth="1"/>
    <col min="2" max="2" width="53" style="12" bestFit="1" customWidth="1"/>
    <col min="3" max="3" width="61.109375" style="12" bestFit="1" customWidth="1"/>
    <col min="4" max="4" width="14.77734375" style="20" bestFit="1" customWidth="1"/>
    <col min="5" max="5" width="16.109375" style="12" bestFit="1" customWidth="1"/>
    <col min="6" max="6" width="12.6640625" style="20" bestFit="1" customWidth="1"/>
    <col min="7" max="13" width="14.88671875" style="12" customWidth="1"/>
    <col min="14" max="16384" width="8.88671875" style="12"/>
  </cols>
  <sheetData>
    <row r="1" spans="1:13" s="10" customFormat="1" ht="19.95" customHeight="1">
      <c r="A1" s="9"/>
      <c r="B1" s="144" t="s">
        <v>316</v>
      </c>
      <c r="C1" s="145"/>
      <c r="D1" s="145"/>
      <c r="E1" s="145"/>
      <c r="F1" s="145"/>
      <c r="G1" s="145"/>
      <c r="H1" s="145"/>
      <c r="I1" s="145"/>
      <c r="J1" s="145"/>
      <c r="K1" s="145"/>
      <c r="L1" s="145"/>
      <c r="M1" s="145"/>
    </row>
    <row r="2" spans="1:13" ht="30.6" customHeight="1">
      <c r="A2" s="11"/>
      <c r="B2" s="145"/>
      <c r="C2" s="145"/>
      <c r="D2" s="145"/>
      <c r="E2" s="145"/>
      <c r="F2" s="145"/>
      <c r="G2" s="145"/>
      <c r="H2" s="145"/>
      <c r="I2" s="145"/>
      <c r="J2" s="145"/>
      <c r="K2" s="145"/>
      <c r="L2" s="145"/>
      <c r="M2" s="145"/>
    </row>
    <row r="3" spans="1:13" ht="30.6" customHeight="1">
      <c r="A3" s="11"/>
      <c r="B3" s="140"/>
      <c r="C3" s="140"/>
      <c r="D3" s="140"/>
      <c r="E3" s="140"/>
      <c r="F3" s="140"/>
      <c r="G3" s="140"/>
      <c r="H3" s="140"/>
      <c r="I3" s="140"/>
      <c r="J3" s="140"/>
      <c r="K3" s="140"/>
      <c r="L3" s="140"/>
      <c r="M3" s="140"/>
    </row>
    <row r="4" spans="1:13" s="13" customFormat="1" ht="27.6" customHeight="1">
      <c r="A4" s="150" t="s">
        <v>0</v>
      </c>
      <c r="B4" s="152" t="s">
        <v>1</v>
      </c>
      <c r="C4" s="152" t="s">
        <v>2</v>
      </c>
      <c r="D4" s="152" t="s">
        <v>3</v>
      </c>
      <c r="E4" s="152" t="s">
        <v>4</v>
      </c>
      <c r="F4" s="152" t="s">
        <v>5</v>
      </c>
      <c r="G4" s="152" t="s">
        <v>166</v>
      </c>
      <c r="H4" s="152"/>
      <c r="I4" s="152" t="s">
        <v>6</v>
      </c>
      <c r="J4" s="152"/>
      <c r="K4" s="152" t="s">
        <v>7</v>
      </c>
      <c r="L4" s="152"/>
      <c r="M4" s="152" t="s">
        <v>8</v>
      </c>
    </row>
    <row r="5" spans="1:13" s="13" customFormat="1" ht="33.6" customHeight="1">
      <c r="A5" s="150"/>
      <c r="B5" s="152"/>
      <c r="C5" s="152"/>
      <c r="D5" s="152"/>
      <c r="E5" s="152"/>
      <c r="F5" s="152"/>
      <c r="G5" s="143" t="s">
        <v>9</v>
      </c>
      <c r="H5" s="143" t="s">
        <v>10</v>
      </c>
      <c r="I5" s="143" t="s">
        <v>9</v>
      </c>
      <c r="J5" s="143" t="s">
        <v>10</v>
      </c>
      <c r="K5" s="143" t="s">
        <v>9</v>
      </c>
      <c r="L5" s="143" t="s">
        <v>10</v>
      </c>
      <c r="M5" s="152"/>
    </row>
    <row r="6" spans="1:13" s="13" customFormat="1" ht="16.95" customHeight="1">
      <c r="A6" s="142">
        <v>1</v>
      </c>
      <c r="B6" s="142">
        <v>2</v>
      </c>
      <c r="C6" s="142">
        <v>3</v>
      </c>
      <c r="D6" s="142">
        <v>4</v>
      </c>
      <c r="E6" s="142">
        <v>5</v>
      </c>
      <c r="F6" s="142">
        <v>6</v>
      </c>
      <c r="G6" s="142">
        <v>7</v>
      </c>
      <c r="H6" s="142">
        <v>8</v>
      </c>
      <c r="I6" s="142">
        <v>9</v>
      </c>
      <c r="J6" s="142">
        <v>10</v>
      </c>
      <c r="K6" s="142">
        <v>11</v>
      </c>
      <c r="L6" s="142">
        <v>12</v>
      </c>
      <c r="M6" s="142">
        <v>13</v>
      </c>
    </row>
    <row r="7" spans="1:13">
      <c r="A7" s="84"/>
      <c r="B7" s="212" t="s">
        <v>288</v>
      </c>
      <c r="C7" s="212" t="s">
        <v>289</v>
      </c>
      <c r="D7" s="210"/>
      <c r="E7" s="84"/>
      <c r="F7" s="210"/>
      <c r="G7" s="22"/>
      <c r="H7" s="22"/>
      <c r="I7" s="22"/>
      <c r="J7" s="22"/>
      <c r="K7" s="22"/>
      <c r="L7" s="22"/>
      <c r="M7" s="22"/>
    </row>
    <row r="8" spans="1:13" s="20" customFormat="1" ht="19.95" customHeight="1">
      <c r="A8" s="213"/>
      <c r="B8" s="180" t="s">
        <v>52</v>
      </c>
      <c r="C8" s="181" t="s">
        <v>54</v>
      </c>
      <c r="D8" s="169"/>
      <c r="E8" s="54"/>
      <c r="F8" s="54"/>
      <c r="G8" s="1"/>
      <c r="H8" s="1"/>
      <c r="I8" s="1"/>
      <c r="J8" s="1"/>
      <c r="K8" s="1"/>
      <c r="L8" s="1"/>
      <c r="M8" s="19"/>
    </row>
    <row r="9" spans="1:13" s="13" customFormat="1" ht="25.8" customHeight="1">
      <c r="A9" s="50">
        <v>1</v>
      </c>
      <c r="B9" s="208" t="s">
        <v>290</v>
      </c>
      <c r="C9" s="208" t="s">
        <v>291</v>
      </c>
      <c r="D9" s="50" t="s">
        <v>292</v>
      </c>
      <c r="E9" s="47"/>
      <c r="F9" s="47">
        <v>142.5</v>
      </c>
      <c r="G9" s="21"/>
      <c r="H9" s="21"/>
      <c r="I9" s="21"/>
      <c r="J9" s="21"/>
      <c r="K9" s="21"/>
      <c r="L9" s="21"/>
      <c r="M9" s="21"/>
    </row>
    <row r="10" spans="1:13">
      <c r="A10" s="84"/>
      <c r="B10" s="209" t="s">
        <v>116</v>
      </c>
      <c r="C10" s="209" t="s">
        <v>121</v>
      </c>
      <c r="D10" s="210" t="s">
        <v>34</v>
      </c>
      <c r="E10" s="48">
        <v>42</v>
      </c>
      <c r="F10" s="49">
        <f t="shared" ref="F10:F15" si="0">E10*$F$9</f>
        <v>5985</v>
      </c>
      <c r="G10" s="24"/>
      <c r="H10" s="24"/>
      <c r="I10" s="24"/>
      <c r="J10" s="24">
        <f>I10*F10</f>
        <v>0</v>
      </c>
      <c r="K10" s="24"/>
      <c r="L10" s="24"/>
      <c r="M10" s="24">
        <f>L10+J10+H10</f>
        <v>0</v>
      </c>
    </row>
    <row r="11" spans="1:13">
      <c r="A11" s="84"/>
      <c r="B11" s="209" t="s">
        <v>293</v>
      </c>
      <c r="C11" s="209" t="s">
        <v>294</v>
      </c>
      <c r="D11" s="210" t="s">
        <v>13</v>
      </c>
      <c r="E11" s="48">
        <v>0.11</v>
      </c>
      <c r="F11" s="49">
        <f t="shared" si="0"/>
        <v>15.675000000000001</v>
      </c>
      <c r="G11" s="24"/>
      <c r="H11" s="24">
        <f>G11*F11</f>
        <v>0</v>
      </c>
      <c r="I11" s="24"/>
      <c r="J11" s="24"/>
      <c r="K11" s="24"/>
      <c r="L11" s="24"/>
      <c r="M11" s="24">
        <f>L11+J11+H11</f>
        <v>0</v>
      </c>
    </row>
    <row r="12" spans="1:13">
      <c r="A12" s="84"/>
      <c r="B12" s="209" t="s">
        <v>295</v>
      </c>
      <c r="C12" s="209" t="s">
        <v>296</v>
      </c>
      <c r="D12" s="210" t="s">
        <v>34</v>
      </c>
      <c r="E12" s="48">
        <v>42</v>
      </c>
      <c r="F12" s="49">
        <f t="shared" si="0"/>
        <v>5985</v>
      </c>
      <c r="G12" s="24"/>
      <c r="H12" s="24">
        <f>G12*F12</f>
        <v>0</v>
      </c>
      <c r="I12" s="24"/>
      <c r="J12" s="24"/>
      <c r="K12" s="24"/>
      <c r="L12" s="24"/>
      <c r="M12" s="24">
        <f>L12+J12+H12</f>
        <v>0</v>
      </c>
    </row>
    <row r="13" spans="1:13">
      <c r="A13" s="84"/>
      <c r="B13" s="209" t="s">
        <v>297</v>
      </c>
      <c r="C13" s="209" t="s">
        <v>298</v>
      </c>
      <c r="D13" s="210" t="s">
        <v>19</v>
      </c>
      <c r="E13" s="82">
        <v>1.1000000000000001E-3</v>
      </c>
      <c r="F13" s="83">
        <f t="shared" si="0"/>
        <v>0.15675</v>
      </c>
      <c r="G13" s="24"/>
      <c r="H13" s="24">
        <f>G13*F13</f>
        <v>0</v>
      </c>
      <c r="I13" s="24"/>
      <c r="J13" s="24"/>
      <c r="K13" s="24"/>
      <c r="L13" s="24"/>
      <c r="M13" s="24">
        <f>L13+J13+H13</f>
        <v>0</v>
      </c>
    </row>
    <row r="14" spans="1:13">
      <c r="A14" s="84"/>
      <c r="B14" s="209" t="s">
        <v>299</v>
      </c>
      <c r="C14" s="209" t="s">
        <v>300</v>
      </c>
      <c r="D14" s="210" t="s">
        <v>19</v>
      </c>
      <c r="E14" s="82">
        <v>2.3E-3</v>
      </c>
      <c r="F14" s="83">
        <f t="shared" si="0"/>
        <v>0.32774999999999999</v>
      </c>
      <c r="G14" s="24"/>
      <c r="H14" s="24">
        <f>G14*F14</f>
        <v>0</v>
      </c>
      <c r="I14" s="24"/>
      <c r="J14" s="24"/>
      <c r="K14" s="24"/>
      <c r="L14" s="24"/>
      <c r="M14" s="24"/>
    </row>
    <row r="15" spans="1:13">
      <c r="A15" s="84"/>
      <c r="B15" s="209" t="s">
        <v>301</v>
      </c>
      <c r="C15" s="209" t="s">
        <v>251</v>
      </c>
      <c r="D15" s="210" t="s">
        <v>40</v>
      </c>
      <c r="E15" s="48">
        <v>1</v>
      </c>
      <c r="F15" s="49">
        <f t="shared" si="0"/>
        <v>142.5</v>
      </c>
      <c r="G15" s="24"/>
      <c r="H15" s="24">
        <f>G15*F15</f>
        <v>0</v>
      </c>
      <c r="I15" s="24"/>
      <c r="J15" s="24"/>
      <c r="K15" s="24"/>
      <c r="L15" s="24"/>
      <c r="M15" s="24">
        <f>L15+J15+H15</f>
        <v>0</v>
      </c>
    </row>
    <row r="16" spans="1:13" s="13" customFormat="1" ht="25.8" customHeight="1">
      <c r="A16" s="50">
        <v>2</v>
      </c>
      <c r="B16" s="208" t="s">
        <v>302</v>
      </c>
      <c r="C16" s="208" t="s">
        <v>303</v>
      </c>
      <c r="D16" s="50" t="s">
        <v>292</v>
      </c>
      <c r="E16" s="47"/>
      <c r="F16" s="47">
        <v>260</v>
      </c>
      <c r="G16" s="24"/>
      <c r="H16" s="21"/>
      <c r="I16" s="21"/>
      <c r="J16" s="21"/>
      <c r="K16" s="21"/>
      <c r="L16" s="21"/>
      <c r="M16" s="21"/>
    </row>
    <row r="17" spans="1:13">
      <c r="A17" s="84"/>
      <c r="B17" s="209" t="s">
        <v>116</v>
      </c>
      <c r="C17" s="209" t="s">
        <v>121</v>
      </c>
      <c r="D17" s="210" t="s">
        <v>34</v>
      </c>
      <c r="E17" s="48">
        <v>65</v>
      </c>
      <c r="F17" s="49">
        <f t="shared" ref="F17:F22" si="1">E17*$F$16</f>
        <v>16900</v>
      </c>
      <c r="G17" s="24"/>
      <c r="H17" s="24"/>
      <c r="I17" s="24"/>
      <c r="J17" s="24">
        <f>I17*F17</f>
        <v>0</v>
      </c>
      <c r="K17" s="24"/>
      <c r="L17" s="24"/>
      <c r="M17" s="24">
        <f>L17+J17+H17</f>
        <v>0</v>
      </c>
    </row>
    <row r="18" spans="1:13">
      <c r="A18" s="84"/>
      <c r="B18" s="209" t="s">
        <v>293</v>
      </c>
      <c r="C18" s="209" t="s">
        <v>294</v>
      </c>
      <c r="D18" s="210" t="s">
        <v>13</v>
      </c>
      <c r="E18" s="48">
        <v>0.11</v>
      </c>
      <c r="F18" s="49">
        <f t="shared" si="1"/>
        <v>28.6</v>
      </c>
      <c r="G18" s="24"/>
      <c r="H18" s="24">
        <f>G18*F18</f>
        <v>0</v>
      </c>
      <c r="I18" s="24"/>
      <c r="J18" s="24"/>
      <c r="K18" s="24"/>
      <c r="L18" s="24"/>
      <c r="M18" s="24">
        <f t="shared" ref="M18:M23" si="2">L18+J18+H18</f>
        <v>0</v>
      </c>
    </row>
    <row r="19" spans="1:13">
      <c r="A19" s="84"/>
      <c r="B19" s="209" t="s">
        <v>304</v>
      </c>
      <c r="C19" s="209" t="s">
        <v>305</v>
      </c>
      <c r="D19" s="210" t="s">
        <v>34</v>
      </c>
      <c r="E19" s="48">
        <v>65</v>
      </c>
      <c r="F19" s="49">
        <f t="shared" si="1"/>
        <v>16900</v>
      </c>
      <c r="G19" s="24"/>
      <c r="H19" s="24">
        <f>G19*F19</f>
        <v>0</v>
      </c>
      <c r="I19" s="24"/>
      <c r="J19" s="24"/>
      <c r="K19" s="24"/>
      <c r="L19" s="24"/>
      <c r="M19" s="24">
        <f t="shared" si="2"/>
        <v>0</v>
      </c>
    </row>
    <row r="20" spans="1:13">
      <c r="A20" s="84"/>
      <c r="B20" s="209" t="s">
        <v>297</v>
      </c>
      <c r="C20" s="209" t="s">
        <v>298</v>
      </c>
      <c r="D20" s="210" t="s">
        <v>19</v>
      </c>
      <c r="E20" s="82">
        <v>1.4E-3</v>
      </c>
      <c r="F20" s="49">
        <f t="shared" si="1"/>
        <v>0.36399999999999999</v>
      </c>
      <c r="G20" s="24"/>
      <c r="H20" s="24">
        <f>G20*F20</f>
        <v>0</v>
      </c>
      <c r="I20" s="24"/>
      <c r="J20" s="24"/>
      <c r="K20" s="24"/>
      <c r="L20" s="24"/>
      <c r="M20" s="24">
        <f t="shared" si="2"/>
        <v>0</v>
      </c>
    </row>
    <row r="21" spans="1:13">
      <c r="A21" s="84"/>
      <c r="B21" s="209" t="s">
        <v>299</v>
      </c>
      <c r="C21" s="209" t="s">
        <v>300</v>
      </c>
      <c r="D21" s="210" t="s">
        <v>19</v>
      </c>
      <c r="E21" s="82">
        <v>3.3999999999999998E-3</v>
      </c>
      <c r="F21" s="83">
        <f t="shared" si="1"/>
        <v>0.8839999999999999</v>
      </c>
      <c r="G21" s="24"/>
      <c r="H21" s="24">
        <f>G21*F21</f>
        <v>0</v>
      </c>
      <c r="I21" s="24"/>
      <c r="J21" s="24"/>
      <c r="K21" s="24"/>
      <c r="L21" s="24"/>
      <c r="M21" s="24"/>
    </row>
    <row r="22" spans="1:13">
      <c r="A22" s="84"/>
      <c r="B22" s="209" t="s">
        <v>301</v>
      </c>
      <c r="C22" s="209" t="s">
        <v>251</v>
      </c>
      <c r="D22" s="210" t="s">
        <v>40</v>
      </c>
      <c r="E22" s="48">
        <v>1</v>
      </c>
      <c r="F22" s="49">
        <f t="shared" si="1"/>
        <v>260</v>
      </c>
      <c r="G22" s="24"/>
      <c r="H22" s="24">
        <f>G22*F22</f>
        <v>0</v>
      </c>
      <c r="I22" s="24"/>
      <c r="J22" s="24"/>
      <c r="K22" s="24"/>
      <c r="L22" s="24"/>
      <c r="M22" s="24">
        <f t="shared" si="2"/>
        <v>0</v>
      </c>
    </row>
    <row r="23" spans="1:13" s="13" customFormat="1" ht="25.8" customHeight="1">
      <c r="A23" s="50">
        <v>3</v>
      </c>
      <c r="B23" s="208" t="s">
        <v>306</v>
      </c>
      <c r="C23" s="208" t="s">
        <v>307</v>
      </c>
      <c r="D23" s="50" t="s">
        <v>292</v>
      </c>
      <c r="E23" s="47"/>
      <c r="F23" s="47">
        <v>89</v>
      </c>
      <c r="G23" s="24"/>
      <c r="H23" s="21"/>
      <c r="I23" s="21"/>
      <c r="J23" s="21"/>
      <c r="K23" s="21"/>
      <c r="L23" s="21"/>
      <c r="M23" s="21">
        <f t="shared" si="2"/>
        <v>0</v>
      </c>
    </row>
    <row r="24" spans="1:13">
      <c r="A24" s="84"/>
      <c r="B24" s="209" t="s">
        <v>116</v>
      </c>
      <c r="C24" s="209" t="s">
        <v>121</v>
      </c>
      <c r="D24" s="210" t="s">
        <v>34</v>
      </c>
      <c r="E24" s="48">
        <v>65</v>
      </c>
      <c r="F24" s="49">
        <f t="shared" ref="F24:F29" si="3">E24*$F$23</f>
        <v>5785</v>
      </c>
      <c r="G24" s="24"/>
      <c r="H24" s="24"/>
      <c r="I24" s="24"/>
      <c r="J24" s="24">
        <f>I24*F24</f>
        <v>0</v>
      </c>
      <c r="K24" s="24"/>
      <c r="L24" s="24"/>
      <c r="M24" s="24">
        <f>L24+J24+H24</f>
        <v>0</v>
      </c>
    </row>
    <row r="25" spans="1:13">
      <c r="A25" s="84"/>
      <c r="B25" s="209" t="s">
        <v>293</v>
      </c>
      <c r="C25" s="209" t="s">
        <v>294</v>
      </c>
      <c r="D25" s="210" t="s">
        <v>13</v>
      </c>
      <c r="E25" s="48">
        <v>0.11</v>
      </c>
      <c r="F25" s="49">
        <f t="shared" si="3"/>
        <v>9.7900000000000009</v>
      </c>
      <c r="G25" s="24"/>
      <c r="H25" s="24">
        <f>G25*F25</f>
        <v>0</v>
      </c>
      <c r="I25" s="24"/>
      <c r="J25" s="24"/>
      <c r="K25" s="24"/>
      <c r="L25" s="24"/>
      <c r="M25" s="24">
        <f>L25+J25+H25</f>
        <v>0</v>
      </c>
    </row>
    <row r="26" spans="1:13">
      <c r="A26" s="84"/>
      <c r="B26" s="209" t="s">
        <v>304</v>
      </c>
      <c r="C26" s="209" t="s">
        <v>305</v>
      </c>
      <c r="D26" s="210" t="s">
        <v>34</v>
      </c>
      <c r="E26" s="48">
        <v>65</v>
      </c>
      <c r="F26" s="49">
        <f t="shared" si="3"/>
        <v>5785</v>
      </c>
      <c r="G26" s="24"/>
      <c r="H26" s="24">
        <f>G26*F26</f>
        <v>0</v>
      </c>
      <c r="I26" s="24"/>
      <c r="J26" s="24"/>
      <c r="K26" s="24"/>
      <c r="L26" s="24"/>
      <c r="M26" s="24">
        <f>L26+J26+H26</f>
        <v>0</v>
      </c>
    </row>
    <row r="27" spans="1:13">
      <c r="A27" s="84"/>
      <c r="B27" s="209" t="s">
        <v>297</v>
      </c>
      <c r="C27" s="209" t="s">
        <v>298</v>
      </c>
      <c r="D27" s="210" t="s">
        <v>19</v>
      </c>
      <c r="E27" s="82">
        <v>1.4E-3</v>
      </c>
      <c r="F27" s="83">
        <f t="shared" si="3"/>
        <v>0.1246</v>
      </c>
      <c r="G27" s="24"/>
      <c r="H27" s="24">
        <f>G27*F27</f>
        <v>0</v>
      </c>
      <c r="I27" s="24"/>
      <c r="J27" s="24"/>
      <c r="K27" s="24"/>
      <c r="L27" s="24"/>
      <c r="M27" s="24">
        <f>L27+J27+H27</f>
        <v>0</v>
      </c>
    </row>
    <row r="28" spans="1:13">
      <c r="A28" s="84"/>
      <c r="B28" s="209" t="s">
        <v>299</v>
      </c>
      <c r="C28" s="209" t="s">
        <v>300</v>
      </c>
      <c r="D28" s="210" t="s">
        <v>19</v>
      </c>
      <c r="E28" s="82">
        <v>3.3999999999999998E-3</v>
      </c>
      <c r="F28" s="83">
        <f t="shared" si="3"/>
        <v>0.30259999999999998</v>
      </c>
      <c r="G28" s="24"/>
      <c r="H28" s="24">
        <f>G28*F28</f>
        <v>0</v>
      </c>
      <c r="I28" s="24"/>
      <c r="J28" s="24"/>
      <c r="K28" s="24"/>
      <c r="L28" s="24"/>
      <c r="M28" s="24"/>
    </row>
    <row r="29" spans="1:13">
      <c r="A29" s="84"/>
      <c r="B29" s="209" t="s">
        <v>301</v>
      </c>
      <c r="C29" s="209" t="s">
        <v>251</v>
      </c>
      <c r="D29" s="210" t="s">
        <v>40</v>
      </c>
      <c r="E29" s="48">
        <v>1</v>
      </c>
      <c r="F29" s="49">
        <f t="shared" si="3"/>
        <v>89</v>
      </c>
      <c r="G29" s="24"/>
      <c r="H29" s="24">
        <f>G29*F29</f>
        <v>0</v>
      </c>
      <c r="I29" s="24"/>
      <c r="J29" s="24"/>
      <c r="K29" s="24"/>
      <c r="L29" s="24"/>
      <c r="M29" s="24">
        <f>L29+J29+H29</f>
        <v>0</v>
      </c>
    </row>
    <row r="30" spans="1:13" s="13" customFormat="1" ht="25.8" customHeight="1">
      <c r="A30" s="50">
        <v>4</v>
      </c>
      <c r="B30" s="208" t="s">
        <v>308</v>
      </c>
      <c r="C30" s="208" t="s">
        <v>309</v>
      </c>
      <c r="D30" s="50" t="s">
        <v>292</v>
      </c>
      <c r="E30" s="47"/>
      <c r="F30" s="47">
        <v>192.5</v>
      </c>
      <c r="G30" s="24"/>
      <c r="H30" s="21"/>
      <c r="I30" s="21"/>
      <c r="J30" s="21"/>
      <c r="K30" s="21"/>
      <c r="L30" s="21"/>
      <c r="M30" s="21"/>
    </row>
    <row r="31" spans="1:13">
      <c r="A31" s="84"/>
      <c r="B31" s="209" t="s">
        <v>116</v>
      </c>
      <c r="C31" s="209" t="s">
        <v>121</v>
      </c>
      <c r="D31" s="210" t="s">
        <v>34</v>
      </c>
      <c r="E31" s="48">
        <v>125</v>
      </c>
      <c r="F31" s="49">
        <f t="shared" ref="F31:F36" si="4">E31*$F$30</f>
        <v>24062.5</v>
      </c>
      <c r="G31" s="24"/>
      <c r="H31" s="24"/>
      <c r="I31" s="24"/>
      <c r="J31" s="24">
        <f>I31*F31</f>
        <v>0</v>
      </c>
      <c r="K31" s="24"/>
      <c r="L31" s="24"/>
      <c r="M31" s="24">
        <f>L31+J31+H31</f>
        <v>0</v>
      </c>
    </row>
    <row r="32" spans="1:13">
      <c r="A32" s="84"/>
      <c r="B32" s="209" t="s">
        <v>293</v>
      </c>
      <c r="C32" s="209" t="s">
        <v>294</v>
      </c>
      <c r="D32" s="210" t="s">
        <v>13</v>
      </c>
      <c r="E32" s="48">
        <v>0.11</v>
      </c>
      <c r="F32" s="49">
        <f t="shared" si="4"/>
        <v>21.175000000000001</v>
      </c>
      <c r="G32" s="24"/>
      <c r="H32" s="24">
        <f>G32*F32</f>
        <v>0</v>
      </c>
      <c r="I32" s="24"/>
      <c r="J32" s="24"/>
      <c r="K32" s="24"/>
      <c r="L32" s="24"/>
      <c r="M32" s="24">
        <f>L32+J32+H32</f>
        <v>0</v>
      </c>
    </row>
    <row r="33" spans="1:13">
      <c r="A33" s="84"/>
      <c r="B33" s="209" t="s">
        <v>310</v>
      </c>
      <c r="C33" s="209" t="s">
        <v>311</v>
      </c>
      <c r="D33" s="210" t="s">
        <v>34</v>
      </c>
      <c r="E33" s="48">
        <v>125</v>
      </c>
      <c r="F33" s="49">
        <f t="shared" si="4"/>
        <v>24062.5</v>
      </c>
      <c r="G33" s="24"/>
      <c r="H33" s="24">
        <f>G33*F33</f>
        <v>0</v>
      </c>
      <c r="I33" s="24"/>
      <c r="J33" s="24"/>
      <c r="K33" s="24"/>
      <c r="L33" s="24"/>
      <c r="M33" s="24">
        <f>L33+J33+H33</f>
        <v>0</v>
      </c>
    </row>
    <row r="34" spans="1:13">
      <c r="A34" s="84"/>
      <c r="B34" s="209" t="s">
        <v>297</v>
      </c>
      <c r="C34" s="209" t="s">
        <v>298</v>
      </c>
      <c r="D34" s="210" t="s">
        <v>19</v>
      </c>
      <c r="E34" s="82">
        <v>2.0999999999999999E-3</v>
      </c>
      <c r="F34" s="83">
        <f t="shared" si="4"/>
        <v>0.40425</v>
      </c>
      <c r="G34" s="24"/>
      <c r="H34" s="24">
        <f>G34*F34</f>
        <v>0</v>
      </c>
      <c r="I34" s="24"/>
      <c r="J34" s="24"/>
      <c r="K34" s="24"/>
      <c r="L34" s="24"/>
      <c r="M34" s="24">
        <f>L34+J34+H34</f>
        <v>0</v>
      </c>
    </row>
    <row r="35" spans="1:13">
      <c r="A35" s="84"/>
      <c r="B35" s="209" t="s">
        <v>299</v>
      </c>
      <c r="C35" s="209" t="s">
        <v>300</v>
      </c>
      <c r="D35" s="210" t="s">
        <v>19</v>
      </c>
      <c r="E35" s="82">
        <v>6.7999999999999996E-3</v>
      </c>
      <c r="F35" s="83">
        <f t="shared" si="4"/>
        <v>1.3089999999999999</v>
      </c>
      <c r="G35" s="24"/>
      <c r="H35" s="24">
        <f>G35*F35</f>
        <v>0</v>
      </c>
      <c r="I35" s="24"/>
      <c r="J35" s="24"/>
      <c r="K35" s="24"/>
      <c r="L35" s="24"/>
      <c r="M35" s="24"/>
    </row>
    <row r="36" spans="1:13">
      <c r="A36" s="84"/>
      <c r="B36" s="209" t="s">
        <v>301</v>
      </c>
      <c r="C36" s="209" t="s">
        <v>251</v>
      </c>
      <c r="D36" s="210" t="s">
        <v>40</v>
      </c>
      <c r="E36" s="48">
        <v>1</v>
      </c>
      <c r="F36" s="49">
        <f t="shared" si="4"/>
        <v>192.5</v>
      </c>
      <c r="G36" s="24"/>
      <c r="H36" s="24">
        <f>G36*F36</f>
        <v>0</v>
      </c>
      <c r="I36" s="24"/>
      <c r="J36" s="24"/>
      <c r="K36" s="24"/>
      <c r="L36" s="24"/>
      <c r="M36" s="24">
        <f>L36+J36+H36</f>
        <v>0</v>
      </c>
    </row>
    <row r="37" spans="1:13" s="13" customFormat="1" ht="41.4" customHeight="1">
      <c r="A37" s="50">
        <v>5</v>
      </c>
      <c r="B37" s="208" t="s">
        <v>312</v>
      </c>
      <c r="C37" s="208" t="s">
        <v>313</v>
      </c>
      <c r="D37" s="50" t="s">
        <v>292</v>
      </c>
      <c r="E37" s="47"/>
      <c r="F37" s="47">
        <v>7.5</v>
      </c>
      <c r="G37" s="24"/>
      <c r="H37" s="21"/>
      <c r="I37" s="21"/>
      <c r="J37" s="21"/>
      <c r="K37" s="21"/>
      <c r="L37" s="21"/>
      <c r="M37" s="21"/>
    </row>
    <row r="38" spans="1:13">
      <c r="A38" s="84"/>
      <c r="B38" s="209" t="s">
        <v>116</v>
      </c>
      <c r="C38" s="209" t="s">
        <v>121</v>
      </c>
      <c r="D38" s="210" t="s">
        <v>34</v>
      </c>
      <c r="E38" s="48">
        <v>125</v>
      </c>
      <c r="F38" s="49">
        <f t="shared" ref="F38:F43" si="5">E38*$F$37</f>
        <v>937.5</v>
      </c>
      <c r="G38" s="24"/>
      <c r="H38" s="24"/>
      <c r="I38" s="24"/>
      <c r="J38" s="24">
        <f>I38*F38</f>
        <v>0</v>
      </c>
      <c r="K38" s="24"/>
      <c r="L38" s="24"/>
      <c r="M38" s="24">
        <f>L38+J38+H38</f>
        <v>0</v>
      </c>
    </row>
    <row r="39" spans="1:13">
      <c r="A39" s="84"/>
      <c r="B39" s="209" t="s">
        <v>293</v>
      </c>
      <c r="C39" s="209" t="s">
        <v>294</v>
      </c>
      <c r="D39" s="210" t="s">
        <v>13</v>
      </c>
      <c r="E39" s="48">
        <v>0.11</v>
      </c>
      <c r="F39" s="49">
        <f t="shared" si="5"/>
        <v>0.82499999999999996</v>
      </c>
      <c r="G39" s="24"/>
      <c r="H39" s="24">
        <f>G39*F39</f>
        <v>0</v>
      </c>
      <c r="I39" s="24"/>
      <c r="J39" s="24"/>
      <c r="K39" s="24"/>
      <c r="L39" s="24"/>
      <c r="M39" s="24">
        <f>L39+J39+H39</f>
        <v>0</v>
      </c>
    </row>
    <row r="40" spans="1:13">
      <c r="A40" s="84"/>
      <c r="B40" s="209" t="s">
        <v>310</v>
      </c>
      <c r="C40" s="209" t="s">
        <v>311</v>
      </c>
      <c r="D40" s="210" t="s">
        <v>34</v>
      </c>
      <c r="E40" s="48">
        <v>125</v>
      </c>
      <c r="F40" s="49">
        <f t="shared" si="5"/>
        <v>937.5</v>
      </c>
      <c r="G40" s="24"/>
      <c r="H40" s="24">
        <f>G40*F40</f>
        <v>0</v>
      </c>
      <c r="I40" s="24"/>
      <c r="J40" s="24"/>
      <c r="K40" s="24"/>
      <c r="L40" s="24"/>
      <c r="M40" s="24">
        <f>L40+J40+H40</f>
        <v>0</v>
      </c>
    </row>
    <row r="41" spans="1:13">
      <c r="A41" s="84"/>
      <c r="B41" s="209" t="s">
        <v>297</v>
      </c>
      <c r="C41" s="209" t="s">
        <v>298</v>
      </c>
      <c r="D41" s="210" t="s">
        <v>19</v>
      </c>
      <c r="E41" s="82">
        <v>2.0999999999999999E-3</v>
      </c>
      <c r="F41" s="83">
        <f t="shared" si="5"/>
        <v>1.575E-2</v>
      </c>
      <c r="G41" s="24"/>
      <c r="H41" s="24">
        <f>G41*F41</f>
        <v>0</v>
      </c>
      <c r="I41" s="24"/>
      <c r="J41" s="24"/>
      <c r="K41" s="24"/>
      <c r="L41" s="24"/>
      <c r="M41" s="24">
        <f>L41+J41+H41</f>
        <v>0</v>
      </c>
    </row>
    <row r="42" spans="1:13">
      <c r="A42" s="84"/>
      <c r="B42" s="209" t="s">
        <v>299</v>
      </c>
      <c r="C42" s="209" t="s">
        <v>300</v>
      </c>
      <c r="D42" s="210" t="s">
        <v>19</v>
      </c>
      <c r="E42" s="82">
        <v>6.7999999999999996E-3</v>
      </c>
      <c r="F42" s="83">
        <f t="shared" si="5"/>
        <v>5.0999999999999997E-2</v>
      </c>
      <c r="G42" s="24"/>
      <c r="H42" s="24">
        <f>G42*F42</f>
        <v>0</v>
      </c>
      <c r="I42" s="24"/>
      <c r="J42" s="24"/>
      <c r="K42" s="24"/>
      <c r="L42" s="24"/>
      <c r="M42" s="24"/>
    </row>
    <row r="43" spans="1:13">
      <c r="A43" s="84"/>
      <c r="B43" s="209" t="s">
        <v>301</v>
      </c>
      <c r="C43" s="209" t="s">
        <v>251</v>
      </c>
      <c r="D43" s="210" t="s">
        <v>40</v>
      </c>
      <c r="E43" s="48">
        <v>1</v>
      </c>
      <c r="F43" s="49">
        <f t="shared" si="5"/>
        <v>7.5</v>
      </c>
      <c r="G43" s="24"/>
      <c r="H43" s="24">
        <f>G43*F43</f>
        <v>0</v>
      </c>
      <c r="I43" s="24"/>
      <c r="J43" s="24"/>
      <c r="K43" s="24"/>
      <c r="L43" s="24"/>
      <c r="M43" s="24">
        <f>L43+J43+H43</f>
        <v>0</v>
      </c>
    </row>
    <row r="44" spans="1:13" s="13" customFormat="1" ht="25.8" customHeight="1">
      <c r="A44" s="50">
        <v>6</v>
      </c>
      <c r="B44" s="211" t="s">
        <v>407</v>
      </c>
      <c r="C44" s="211" t="s">
        <v>401</v>
      </c>
      <c r="D44" s="50" t="s">
        <v>265</v>
      </c>
      <c r="E44" s="47"/>
      <c r="F44" s="47">
        <f>12*1.4</f>
        <v>16.799999999999997</v>
      </c>
      <c r="G44" s="21"/>
      <c r="H44" s="21"/>
      <c r="I44" s="21"/>
      <c r="J44" s="21"/>
      <c r="K44" s="21"/>
      <c r="L44" s="21"/>
      <c r="M44" s="21"/>
    </row>
    <row r="45" spans="1:13">
      <c r="A45" s="84"/>
      <c r="B45" s="214" t="s">
        <v>116</v>
      </c>
      <c r="C45" s="214" t="s">
        <v>237</v>
      </c>
      <c r="D45" s="210" t="s">
        <v>265</v>
      </c>
      <c r="E45" s="84">
        <v>1</v>
      </c>
      <c r="F45" s="85">
        <f>E45*F44</f>
        <v>16.799999999999997</v>
      </c>
      <c r="G45" s="81"/>
      <c r="H45" s="81"/>
      <c r="I45" s="81"/>
      <c r="J45" s="24">
        <f>I45*F45</f>
        <v>0</v>
      </c>
      <c r="K45" s="81"/>
      <c r="L45" s="81"/>
      <c r="M45" s="24">
        <f t="shared" ref="M45:M49" si="6">L45+J45+H45</f>
        <v>0</v>
      </c>
    </row>
    <row r="46" spans="1:13">
      <c r="A46" s="84"/>
      <c r="B46" s="214" t="s">
        <v>405</v>
      </c>
      <c r="C46" s="214" t="s">
        <v>402</v>
      </c>
      <c r="D46" s="210" t="s">
        <v>292</v>
      </c>
      <c r="E46" s="48">
        <f>0.2*0.1</f>
        <v>2.0000000000000004E-2</v>
      </c>
      <c r="F46" s="85">
        <f>E46*F44</f>
        <v>0.33600000000000002</v>
      </c>
      <c r="G46" s="24"/>
      <c r="H46" s="24">
        <f>G46*F46</f>
        <v>0</v>
      </c>
      <c r="I46" s="24"/>
      <c r="J46" s="24"/>
      <c r="K46" s="24"/>
      <c r="L46" s="24"/>
      <c r="M46" s="24">
        <f t="shared" si="6"/>
        <v>0</v>
      </c>
    </row>
    <row r="47" spans="1:13">
      <c r="A47" s="84"/>
      <c r="B47" s="214" t="s">
        <v>297</v>
      </c>
      <c r="C47" s="214" t="s">
        <v>298</v>
      </c>
      <c r="D47" s="210" t="s">
        <v>19</v>
      </c>
      <c r="E47" s="82">
        <f>0.6*5*0.099/1000</f>
        <v>2.9700000000000006E-4</v>
      </c>
      <c r="F47" s="85">
        <f>E47*F44</f>
        <v>4.9896000000000003E-3</v>
      </c>
      <c r="G47" s="24"/>
      <c r="H47" s="24">
        <f>F47*G47</f>
        <v>0</v>
      </c>
      <c r="I47" s="24"/>
      <c r="J47" s="24"/>
      <c r="K47" s="24"/>
      <c r="L47" s="24"/>
      <c r="M47" s="24">
        <f>L47+J47+H47</f>
        <v>0</v>
      </c>
    </row>
    <row r="48" spans="1:13">
      <c r="A48" s="84"/>
      <c r="B48" s="214" t="s">
        <v>403</v>
      </c>
      <c r="C48" s="214" t="s">
        <v>404</v>
      </c>
      <c r="D48" s="210" t="s">
        <v>19</v>
      </c>
      <c r="E48" s="82">
        <f>4.8*0.222/1000</f>
        <v>1.0655999999999999E-3</v>
      </c>
      <c r="F48" s="85">
        <f>E48*F44</f>
        <v>1.7902079999999994E-2</v>
      </c>
      <c r="G48" s="24"/>
      <c r="H48" s="24">
        <f>G48*F48</f>
        <v>0</v>
      </c>
      <c r="I48" s="24"/>
      <c r="J48" s="24"/>
      <c r="K48" s="24"/>
      <c r="L48" s="24"/>
      <c r="M48" s="24">
        <f t="shared" si="6"/>
        <v>0</v>
      </c>
    </row>
    <row r="49" spans="1:13">
      <c r="A49" s="84"/>
      <c r="B49" s="214" t="s">
        <v>301</v>
      </c>
      <c r="C49" s="214" t="s">
        <v>251</v>
      </c>
      <c r="D49" s="210" t="s">
        <v>252</v>
      </c>
      <c r="E49" s="48">
        <v>1</v>
      </c>
      <c r="F49" s="85">
        <f>E49*F44</f>
        <v>16.799999999999997</v>
      </c>
      <c r="G49" s="24"/>
      <c r="H49" s="24">
        <f>G49*F49</f>
        <v>0</v>
      </c>
      <c r="I49" s="24"/>
      <c r="J49" s="24"/>
      <c r="K49" s="24"/>
      <c r="L49" s="24"/>
      <c r="M49" s="24">
        <f t="shared" si="6"/>
        <v>0</v>
      </c>
    </row>
    <row r="50" spans="1:13" s="13" customFormat="1" ht="25.8" customHeight="1">
      <c r="A50" s="50">
        <v>7</v>
      </c>
      <c r="B50" s="211" t="s">
        <v>408</v>
      </c>
      <c r="C50" s="211" t="s">
        <v>406</v>
      </c>
      <c r="D50" s="50" t="s">
        <v>265</v>
      </c>
      <c r="E50" s="47"/>
      <c r="F50" s="47">
        <f>20*1.4</f>
        <v>28</v>
      </c>
      <c r="G50" s="21"/>
      <c r="H50" s="21"/>
      <c r="I50" s="21"/>
      <c r="J50" s="21"/>
      <c r="K50" s="21"/>
      <c r="L50" s="21"/>
      <c r="M50" s="21"/>
    </row>
    <row r="51" spans="1:13">
      <c r="A51" s="84"/>
      <c r="B51" s="214" t="s">
        <v>116</v>
      </c>
      <c r="C51" s="214" t="s">
        <v>237</v>
      </c>
      <c r="D51" s="210" t="s">
        <v>265</v>
      </c>
      <c r="E51" s="84">
        <v>1</v>
      </c>
      <c r="F51" s="85">
        <f>E51*F50</f>
        <v>28</v>
      </c>
      <c r="G51" s="81"/>
      <c r="H51" s="81"/>
      <c r="I51" s="81"/>
      <c r="J51" s="24">
        <f>I51*F51</f>
        <v>0</v>
      </c>
      <c r="K51" s="81"/>
      <c r="L51" s="81"/>
      <c r="M51" s="24">
        <f t="shared" ref="M51:M55" si="7">L51+J51+H51</f>
        <v>0</v>
      </c>
    </row>
    <row r="52" spans="1:13">
      <c r="A52" s="84"/>
      <c r="B52" s="214" t="s">
        <v>405</v>
      </c>
      <c r="C52" s="214" t="s">
        <v>402</v>
      </c>
      <c r="D52" s="210" t="s">
        <v>292</v>
      </c>
      <c r="E52" s="48">
        <f>0.2*0.2</f>
        <v>4.0000000000000008E-2</v>
      </c>
      <c r="F52" s="84">
        <f>E52*F50</f>
        <v>1.1200000000000001</v>
      </c>
      <c r="G52" s="24"/>
      <c r="H52" s="24">
        <f>G52*F52</f>
        <v>0</v>
      </c>
      <c r="I52" s="24"/>
      <c r="J52" s="24"/>
      <c r="K52" s="24"/>
      <c r="L52" s="24"/>
      <c r="M52" s="24">
        <f t="shared" si="7"/>
        <v>0</v>
      </c>
    </row>
    <row r="53" spans="1:13">
      <c r="A53" s="84"/>
      <c r="B53" s="214" t="s">
        <v>297</v>
      </c>
      <c r="C53" s="214" t="s">
        <v>298</v>
      </c>
      <c r="D53" s="210" t="s">
        <v>19</v>
      </c>
      <c r="E53" s="82">
        <f>1*5*0.099/1000</f>
        <v>4.95E-4</v>
      </c>
      <c r="F53" s="84">
        <f>E53*F50</f>
        <v>1.3860000000000001E-2</v>
      </c>
      <c r="G53" s="24"/>
      <c r="H53" s="24">
        <f>F53*G53</f>
        <v>0</v>
      </c>
      <c r="I53" s="24"/>
      <c r="J53" s="24"/>
      <c r="K53" s="24"/>
      <c r="L53" s="24"/>
      <c r="M53" s="24">
        <f>L53+J53+H53</f>
        <v>0</v>
      </c>
    </row>
    <row r="54" spans="1:13">
      <c r="A54" s="84"/>
      <c r="B54" s="214" t="s">
        <v>403</v>
      </c>
      <c r="C54" s="214" t="s">
        <v>404</v>
      </c>
      <c r="D54" s="210" t="s">
        <v>19</v>
      </c>
      <c r="E54" s="82">
        <f>4.8*0.222/1000</f>
        <v>1.0655999999999999E-3</v>
      </c>
      <c r="F54" s="84">
        <f>E54*F50</f>
        <v>2.9836799999999997E-2</v>
      </c>
      <c r="G54" s="24"/>
      <c r="H54" s="24">
        <f>G54*F54</f>
        <v>0</v>
      </c>
      <c r="I54" s="24"/>
      <c r="J54" s="24"/>
      <c r="K54" s="24"/>
      <c r="L54" s="24"/>
      <c r="M54" s="24">
        <f t="shared" ref="M54:M55" si="8">L54+J54+H54</f>
        <v>0</v>
      </c>
    </row>
    <row r="55" spans="1:13">
      <c r="A55" s="84"/>
      <c r="B55" s="214" t="s">
        <v>301</v>
      </c>
      <c r="C55" s="214" t="s">
        <v>251</v>
      </c>
      <c r="D55" s="210" t="s">
        <v>252</v>
      </c>
      <c r="E55" s="48">
        <v>1</v>
      </c>
      <c r="F55" s="84">
        <f>E55*F50</f>
        <v>28</v>
      </c>
      <c r="G55" s="24"/>
      <c r="H55" s="24">
        <f>G55*F55</f>
        <v>0</v>
      </c>
      <c r="I55" s="24"/>
      <c r="J55" s="24"/>
      <c r="K55" s="24"/>
      <c r="L55" s="24"/>
      <c r="M55" s="24">
        <f t="shared" si="8"/>
        <v>0</v>
      </c>
    </row>
    <row r="56" spans="1:13" s="13" customFormat="1" ht="25.8" customHeight="1">
      <c r="A56" s="50">
        <v>8</v>
      </c>
      <c r="B56" s="208" t="s">
        <v>314</v>
      </c>
      <c r="C56" s="208" t="s">
        <v>315</v>
      </c>
      <c r="D56" s="50" t="s">
        <v>292</v>
      </c>
      <c r="E56" s="47"/>
      <c r="F56" s="47">
        <v>1.25</v>
      </c>
      <c r="G56" s="21"/>
      <c r="H56" s="21"/>
      <c r="I56" s="21"/>
      <c r="J56" s="21"/>
      <c r="K56" s="21"/>
      <c r="L56" s="21"/>
      <c r="M56" s="21"/>
    </row>
    <row r="57" spans="1:13">
      <c r="A57" s="84"/>
      <c r="B57" s="209" t="s">
        <v>116</v>
      </c>
      <c r="C57" s="209" t="s">
        <v>237</v>
      </c>
      <c r="D57" s="210" t="s">
        <v>292</v>
      </c>
      <c r="E57" s="84">
        <v>1</v>
      </c>
      <c r="F57" s="85">
        <f>E57*$F$56</f>
        <v>1.25</v>
      </c>
      <c r="G57" s="81"/>
      <c r="H57" s="81"/>
      <c r="I57" s="81"/>
      <c r="J57" s="24">
        <f>I57*F57</f>
        <v>0</v>
      </c>
      <c r="K57" s="81"/>
      <c r="L57" s="81"/>
      <c r="M57" s="24">
        <f t="shared" ref="M57:M62" si="9">L57+J57+H57</f>
        <v>0</v>
      </c>
    </row>
    <row r="58" spans="1:13">
      <c r="A58" s="84"/>
      <c r="B58" s="209" t="s">
        <v>64</v>
      </c>
      <c r="C58" s="209" t="s">
        <v>67</v>
      </c>
      <c r="D58" s="210" t="s">
        <v>292</v>
      </c>
      <c r="E58" s="48">
        <v>1.0149999999999999</v>
      </c>
      <c r="F58" s="84">
        <f>E58*$F$56</f>
        <v>1.2687499999999998</v>
      </c>
      <c r="G58" s="24"/>
      <c r="H58" s="24">
        <f>G58*F58</f>
        <v>0</v>
      </c>
      <c r="I58" s="24"/>
      <c r="J58" s="24"/>
      <c r="K58" s="24"/>
      <c r="L58" s="24"/>
      <c r="M58" s="24">
        <f t="shared" si="9"/>
        <v>0</v>
      </c>
    </row>
    <row r="59" spans="1:13">
      <c r="A59" s="84"/>
      <c r="B59" s="209" t="s">
        <v>154</v>
      </c>
      <c r="C59" s="209" t="s">
        <v>153</v>
      </c>
      <c r="D59" s="210" t="s">
        <v>19</v>
      </c>
      <c r="E59" s="82">
        <v>1.67E-2</v>
      </c>
      <c r="F59" s="86">
        <f>E59*1.03</f>
        <v>1.7201000000000001E-2</v>
      </c>
      <c r="G59" s="24"/>
      <c r="H59" s="24">
        <f>G59*F59</f>
        <v>0</v>
      </c>
      <c r="I59" s="24"/>
      <c r="J59" s="24"/>
      <c r="K59" s="24"/>
      <c r="L59" s="24"/>
      <c r="M59" s="24">
        <f t="shared" si="9"/>
        <v>0</v>
      </c>
    </row>
    <row r="60" spans="1:13">
      <c r="A60" s="84"/>
      <c r="B60" s="209" t="s">
        <v>152</v>
      </c>
      <c r="C60" s="209" t="s">
        <v>151</v>
      </c>
      <c r="D60" s="210" t="s">
        <v>19</v>
      </c>
      <c r="E60" s="82">
        <v>5.4199999999999998E-2</v>
      </c>
      <c r="F60" s="86">
        <f>E60*1.03</f>
        <v>5.5826000000000001E-2</v>
      </c>
      <c r="G60" s="24"/>
      <c r="H60" s="24">
        <f>F60*G60</f>
        <v>0</v>
      </c>
      <c r="I60" s="24"/>
      <c r="J60" s="24"/>
      <c r="K60" s="24"/>
      <c r="L60" s="24"/>
      <c r="M60" s="24">
        <f t="shared" si="9"/>
        <v>0</v>
      </c>
    </row>
    <row r="61" spans="1:13">
      <c r="A61" s="84"/>
      <c r="B61" s="209" t="s">
        <v>159</v>
      </c>
      <c r="C61" s="209" t="s">
        <v>160</v>
      </c>
      <c r="D61" s="210" t="s">
        <v>19</v>
      </c>
      <c r="E61" s="82">
        <v>7.4800000000000005E-2</v>
      </c>
      <c r="F61" s="86">
        <f>E61*1.03</f>
        <v>7.7044000000000001E-2</v>
      </c>
      <c r="G61" s="24"/>
      <c r="H61" s="24">
        <f>F61*G61</f>
        <v>0</v>
      </c>
      <c r="I61" s="24"/>
      <c r="J61" s="24"/>
      <c r="K61" s="24"/>
      <c r="L61" s="24"/>
      <c r="M61" s="24">
        <f t="shared" si="9"/>
        <v>0</v>
      </c>
    </row>
    <row r="62" spans="1:13">
      <c r="A62" s="84"/>
      <c r="B62" s="209" t="s">
        <v>301</v>
      </c>
      <c r="C62" s="209" t="s">
        <v>251</v>
      </c>
      <c r="D62" s="210" t="s">
        <v>252</v>
      </c>
      <c r="E62" s="48">
        <v>1</v>
      </c>
      <c r="F62" s="84">
        <f>E62*$F$56</f>
        <v>1.25</v>
      </c>
      <c r="G62" s="24"/>
      <c r="H62" s="24">
        <f>G62*F62</f>
        <v>0</v>
      </c>
      <c r="I62" s="24"/>
      <c r="J62" s="24"/>
      <c r="K62" s="24"/>
      <c r="L62" s="24"/>
      <c r="M62" s="24">
        <f t="shared" si="9"/>
        <v>0</v>
      </c>
    </row>
    <row r="63" spans="1:13" s="20" customFormat="1" ht="19.95" customHeight="1">
      <c r="A63" s="213"/>
      <c r="B63" s="180" t="s">
        <v>51</v>
      </c>
      <c r="C63" s="181" t="s">
        <v>53</v>
      </c>
      <c r="D63" s="169"/>
      <c r="E63" s="54"/>
      <c r="F63" s="54"/>
      <c r="G63" s="8"/>
      <c r="H63" s="8"/>
      <c r="I63" s="8"/>
      <c r="J63" s="8"/>
      <c r="K63" s="8"/>
      <c r="L63" s="8"/>
      <c r="M63" s="31"/>
    </row>
    <row r="64" spans="1:13" s="13" customFormat="1" ht="25.8" customHeight="1">
      <c r="A64" s="50">
        <v>9</v>
      </c>
      <c r="B64" s="208" t="s">
        <v>290</v>
      </c>
      <c r="C64" s="208" t="s">
        <v>291</v>
      </c>
      <c r="D64" s="50" t="s">
        <v>292</v>
      </c>
      <c r="E64" s="47"/>
      <c r="F64" s="47">
        <v>142.5</v>
      </c>
      <c r="G64" s="21"/>
      <c r="H64" s="21"/>
      <c r="I64" s="21"/>
      <c r="J64" s="21"/>
      <c r="K64" s="21"/>
      <c r="L64" s="21"/>
      <c r="M64" s="21"/>
    </row>
    <row r="65" spans="1:13">
      <c r="A65" s="84"/>
      <c r="B65" s="209" t="s">
        <v>116</v>
      </c>
      <c r="C65" s="209" t="s">
        <v>121</v>
      </c>
      <c r="D65" s="210" t="s">
        <v>34</v>
      </c>
      <c r="E65" s="48">
        <v>42</v>
      </c>
      <c r="F65" s="49">
        <f t="shared" ref="F65:F70" si="10">E65*$F$64</f>
        <v>5985</v>
      </c>
      <c r="G65" s="24"/>
      <c r="H65" s="24"/>
      <c r="I65" s="24"/>
      <c r="J65" s="24">
        <f>I65*F65</f>
        <v>0</v>
      </c>
      <c r="K65" s="24"/>
      <c r="L65" s="24"/>
      <c r="M65" s="24">
        <f>L65+J65+H65</f>
        <v>0</v>
      </c>
    </row>
    <row r="66" spans="1:13">
      <c r="A66" s="84"/>
      <c r="B66" s="209" t="s">
        <v>293</v>
      </c>
      <c r="C66" s="209" t="s">
        <v>294</v>
      </c>
      <c r="D66" s="210" t="s">
        <v>13</v>
      </c>
      <c r="E66" s="48">
        <v>0.11</v>
      </c>
      <c r="F66" s="49">
        <f t="shared" si="10"/>
        <v>15.675000000000001</v>
      </c>
      <c r="G66" s="24"/>
      <c r="H66" s="24">
        <f>G66*F66</f>
        <v>0</v>
      </c>
      <c r="I66" s="24"/>
      <c r="J66" s="24"/>
      <c r="K66" s="24"/>
      <c r="L66" s="24"/>
      <c r="M66" s="24">
        <f>L66+J66+H66</f>
        <v>0</v>
      </c>
    </row>
    <row r="67" spans="1:13">
      <c r="A67" s="84"/>
      <c r="B67" s="209" t="s">
        <v>295</v>
      </c>
      <c r="C67" s="209" t="s">
        <v>296</v>
      </c>
      <c r="D67" s="210" t="s">
        <v>34</v>
      </c>
      <c r="E67" s="48">
        <v>42</v>
      </c>
      <c r="F67" s="49">
        <f t="shared" si="10"/>
        <v>5985</v>
      </c>
      <c r="G67" s="24"/>
      <c r="H67" s="24">
        <f>G67*F67</f>
        <v>0</v>
      </c>
      <c r="I67" s="24"/>
      <c r="J67" s="24"/>
      <c r="K67" s="24"/>
      <c r="L67" s="24"/>
      <c r="M67" s="24">
        <f>L67+J67+H67</f>
        <v>0</v>
      </c>
    </row>
    <row r="68" spans="1:13">
      <c r="A68" s="84"/>
      <c r="B68" s="209" t="s">
        <v>297</v>
      </c>
      <c r="C68" s="209" t="s">
        <v>298</v>
      </c>
      <c r="D68" s="210" t="s">
        <v>19</v>
      </c>
      <c r="E68" s="82">
        <v>1.1000000000000001E-3</v>
      </c>
      <c r="F68" s="49">
        <f t="shared" si="10"/>
        <v>0.15675</v>
      </c>
      <c r="G68" s="24"/>
      <c r="H68" s="24">
        <f>G68*F68</f>
        <v>0</v>
      </c>
      <c r="I68" s="24"/>
      <c r="J68" s="24"/>
      <c r="K68" s="24"/>
      <c r="L68" s="24"/>
      <c r="M68" s="24">
        <f>L68+J68+H68</f>
        <v>0</v>
      </c>
    </row>
    <row r="69" spans="1:13">
      <c r="A69" s="84"/>
      <c r="B69" s="209" t="s">
        <v>299</v>
      </c>
      <c r="C69" s="209" t="s">
        <v>300</v>
      </c>
      <c r="D69" s="210" t="s">
        <v>19</v>
      </c>
      <c r="E69" s="82">
        <v>2.3E-3</v>
      </c>
      <c r="F69" s="49">
        <f t="shared" si="10"/>
        <v>0.32774999999999999</v>
      </c>
      <c r="G69" s="24"/>
      <c r="H69" s="24">
        <f>G69*F69</f>
        <v>0</v>
      </c>
      <c r="I69" s="24"/>
      <c r="J69" s="24"/>
      <c r="K69" s="24"/>
      <c r="L69" s="24"/>
      <c r="M69" s="24"/>
    </row>
    <row r="70" spans="1:13">
      <c r="A70" s="84"/>
      <c r="B70" s="209" t="s">
        <v>301</v>
      </c>
      <c r="C70" s="209" t="s">
        <v>251</v>
      </c>
      <c r="D70" s="210" t="s">
        <v>40</v>
      </c>
      <c r="E70" s="48">
        <v>1</v>
      </c>
      <c r="F70" s="49">
        <f t="shared" si="10"/>
        <v>142.5</v>
      </c>
      <c r="G70" s="24"/>
      <c r="H70" s="24">
        <f>G70*F70</f>
        <v>0</v>
      </c>
      <c r="I70" s="24"/>
      <c r="J70" s="24"/>
      <c r="K70" s="24"/>
      <c r="L70" s="24"/>
      <c r="M70" s="24">
        <f>L70+J70+H70</f>
        <v>0</v>
      </c>
    </row>
    <row r="71" spans="1:13" s="13" customFormat="1" ht="25.8" customHeight="1">
      <c r="A71" s="50">
        <v>10</v>
      </c>
      <c r="B71" s="208" t="s">
        <v>302</v>
      </c>
      <c r="C71" s="208" t="s">
        <v>303</v>
      </c>
      <c r="D71" s="50" t="s">
        <v>292</v>
      </c>
      <c r="E71" s="47"/>
      <c r="F71" s="47">
        <v>260</v>
      </c>
      <c r="G71" s="24"/>
      <c r="H71" s="21"/>
      <c r="I71" s="21"/>
      <c r="J71" s="21"/>
      <c r="K71" s="21"/>
      <c r="L71" s="21"/>
      <c r="M71" s="21"/>
    </row>
    <row r="72" spans="1:13">
      <c r="A72" s="84"/>
      <c r="B72" s="209" t="s">
        <v>116</v>
      </c>
      <c r="C72" s="209" t="s">
        <v>121</v>
      </c>
      <c r="D72" s="210" t="s">
        <v>34</v>
      </c>
      <c r="E72" s="48">
        <v>65</v>
      </c>
      <c r="F72" s="49">
        <f>E72*$F$71</f>
        <v>16900</v>
      </c>
      <c r="G72" s="24"/>
      <c r="H72" s="24"/>
      <c r="I72" s="24"/>
      <c r="J72" s="24">
        <f>I72*F72</f>
        <v>0</v>
      </c>
      <c r="K72" s="24"/>
      <c r="L72" s="24"/>
      <c r="M72" s="24">
        <f>L72+J72+H72</f>
        <v>0</v>
      </c>
    </row>
    <row r="73" spans="1:13">
      <c r="A73" s="84"/>
      <c r="B73" s="209" t="s">
        <v>293</v>
      </c>
      <c r="C73" s="209" t="s">
        <v>294</v>
      </c>
      <c r="D73" s="210" t="s">
        <v>13</v>
      </c>
      <c r="E73" s="48">
        <v>0.11</v>
      </c>
      <c r="F73" s="49">
        <f>E73*$F$71</f>
        <v>28.6</v>
      </c>
      <c r="G73" s="24"/>
      <c r="H73" s="24">
        <f>G73*F73</f>
        <v>0</v>
      </c>
      <c r="I73" s="24"/>
      <c r="J73" s="24"/>
      <c r="K73" s="24"/>
      <c r="L73" s="24"/>
      <c r="M73" s="24">
        <f>L73+J73+H73</f>
        <v>0</v>
      </c>
    </row>
    <row r="74" spans="1:13">
      <c r="A74" s="84"/>
      <c r="B74" s="209" t="s">
        <v>304</v>
      </c>
      <c r="C74" s="209" t="s">
        <v>305</v>
      </c>
      <c r="D74" s="210" t="s">
        <v>34</v>
      </c>
      <c r="E74" s="48">
        <v>65</v>
      </c>
      <c r="F74" s="49">
        <f t="shared" ref="F74:F77" si="11">E74*$F$71</f>
        <v>16900</v>
      </c>
      <c r="G74" s="24"/>
      <c r="H74" s="24">
        <f>G74*F74</f>
        <v>0</v>
      </c>
      <c r="I74" s="24"/>
      <c r="J74" s="24"/>
      <c r="K74" s="24"/>
      <c r="L74" s="24"/>
      <c r="M74" s="24">
        <f>L74+J74+H74</f>
        <v>0</v>
      </c>
    </row>
    <row r="75" spans="1:13">
      <c r="A75" s="84"/>
      <c r="B75" s="209" t="s">
        <v>297</v>
      </c>
      <c r="C75" s="209" t="s">
        <v>298</v>
      </c>
      <c r="D75" s="210" t="s">
        <v>19</v>
      </c>
      <c r="E75" s="82">
        <v>1.4E-3</v>
      </c>
      <c r="F75" s="49">
        <f t="shared" si="11"/>
        <v>0.36399999999999999</v>
      </c>
      <c r="G75" s="24"/>
      <c r="H75" s="24">
        <f>G75*F75</f>
        <v>0</v>
      </c>
      <c r="I75" s="24"/>
      <c r="J75" s="24"/>
      <c r="K75" s="24"/>
      <c r="L75" s="24"/>
      <c r="M75" s="24">
        <f>L75+J75+H75</f>
        <v>0</v>
      </c>
    </row>
    <row r="76" spans="1:13">
      <c r="A76" s="84"/>
      <c r="B76" s="209" t="s">
        <v>299</v>
      </c>
      <c r="C76" s="209" t="s">
        <v>300</v>
      </c>
      <c r="D76" s="210" t="s">
        <v>19</v>
      </c>
      <c r="E76" s="82">
        <v>3.3999999999999998E-3</v>
      </c>
      <c r="F76" s="49">
        <f t="shared" si="11"/>
        <v>0.8839999999999999</v>
      </c>
      <c r="G76" s="24"/>
      <c r="H76" s="24">
        <f>G76*F76</f>
        <v>0</v>
      </c>
      <c r="I76" s="24"/>
      <c r="J76" s="24"/>
      <c r="K76" s="24"/>
      <c r="L76" s="24"/>
      <c r="M76" s="24"/>
    </row>
    <row r="77" spans="1:13">
      <c r="A77" s="84"/>
      <c r="B77" s="209" t="s">
        <v>301</v>
      </c>
      <c r="C77" s="209" t="s">
        <v>251</v>
      </c>
      <c r="D77" s="210" t="s">
        <v>40</v>
      </c>
      <c r="E77" s="48">
        <v>1</v>
      </c>
      <c r="F77" s="49">
        <f t="shared" si="11"/>
        <v>260</v>
      </c>
      <c r="G77" s="24"/>
      <c r="H77" s="24">
        <f>G77*F77</f>
        <v>0</v>
      </c>
      <c r="I77" s="24"/>
      <c r="J77" s="24"/>
      <c r="K77" s="24"/>
      <c r="L77" s="24"/>
      <c r="M77" s="24">
        <f>L77+J77+H77</f>
        <v>0</v>
      </c>
    </row>
    <row r="78" spans="1:13" s="13" customFormat="1" ht="25.8" customHeight="1">
      <c r="A78" s="50">
        <v>11</v>
      </c>
      <c r="B78" s="208" t="s">
        <v>306</v>
      </c>
      <c r="C78" s="208" t="s">
        <v>307</v>
      </c>
      <c r="D78" s="50" t="s">
        <v>292</v>
      </c>
      <c r="E78" s="47"/>
      <c r="F78" s="47">
        <v>89</v>
      </c>
      <c r="G78" s="24"/>
      <c r="H78" s="21"/>
      <c r="I78" s="21"/>
      <c r="J78" s="21"/>
      <c r="K78" s="21"/>
      <c r="L78" s="21"/>
      <c r="M78" s="21"/>
    </row>
    <row r="79" spans="1:13">
      <c r="A79" s="84"/>
      <c r="B79" s="209" t="s">
        <v>116</v>
      </c>
      <c r="C79" s="209" t="s">
        <v>121</v>
      </c>
      <c r="D79" s="210" t="s">
        <v>34</v>
      </c>
      <c r="E79" s="48">
        <v>65</v>
      </c>
      <c r="F79" s="49">
        <f t="shared" ref="F79:F84" si="12">E79*$F$78</f>
        <v>5785</v>
      </c>
      <c r="G79" s="24"/>
      <c r="H79" s="24"/>
      <c r="I79" s="24"/>
      <c r="J79" s="24">
        <f>I79*F79</f>
        <v>0</v>
      </c>
      <c r="K79" s="24"/>
      <c r="L79" s="24"/>
      <c r="M79" s="24">
        <f>L79+J79+H79</f>
        <v>0</v>
      </c>
    </row>
    <row r="80" spans="1:13">
      <c r="A80" s="84"/>
      <c r="B80" s="209" t="s">
        <v>293</v>
      </c>
      <c r="C80" s="209" t="s">
        <v>294</v>
      </c>
      <c r="D80" s="210" t="s">
        <v>13</v>
      </c>
      <c r="E80" s="48">
        <v>0.11</v>
      </c>
      <c r="F80" s="49">
        <f t="shared" si="12"/>
        <v>9.7900000000000009</v>
      </c>
      <c r="G80" s="24"/>
      <c r="H80" s="24">
        <f>G80*F80</f>
        <v>0</v>
      </c>
      <c r="I80" s="24"/>
      <c r="J80" s="24"/>
      <c r="K80" s="24"/>
      <c r="L80" s="24"/>
      <c r="M80" s="24">
        <f>L80+J80+H80</f>
        <v>0</v>
      </c>
    </row>
    <row r="81" spans="1:13">
      <c r="A81" s="84"/>
      <c r="B81" s="209" t="s">
        <v>304</v>
      </c>
      <c r="C81" s="209" t="s">
        <v>305</v>
      </c>
      <c r="D81" s="210" t="s">
        <v>34</v>
      </c>
      <c r="E81" s="48">
        <v>65</v>
      </c>
      <c r="F81" s="49">
        <f t="shared" si="12"/>
        <v>5785</v>
      </c>
      <c r="G81" s="24"/>
      <c r="H81" s="24">
        <f>G81*F81</f>
        <v>0</v>
      </c>
      <c r="I81" s="24"/>
      <c r="J81" s="24"/>
      <c r="K81" s="24"/>
      <c r="L81" s="24"/>
      <c r="M81" s="24">
        <f>L81+J81+H81</f>
        <v>0</v>
      </c>
    </row>
    <row r="82" spans="1:13">
      <c r="A82" s="84"/>
      <c r="B82" s="209" t="s">
        <v>297</v>
      </c>
      <c r="C82" s="209" t="s">
        <v>298</v>
      </c>
      <c r="D82" s="210" t="s">
        <v>19</v>
      </c>
      <c r="E82" s="82">
        <v>1.4E-3</v>
      </c>
      <c r="F82" s="49">
        <f t="shared" si="12"/>
        <v>0.1246</v>
      </c>
      <c r="G82" s="24"/>
      <c r="H82" s="24">
        <f>G82*F82</f>
        <v>0</v>
      </c>
      <c r="I82" s="24"/>
      <c r="J82" s="24"/>
      <c r="K82" s="24"/>
      <c r="L82" s="24"/>
      <c r="M82" s="24">
        <f>L82+J82+H82</f>
        <v>0</v>
      </c>
    </row>
    <row r="83" spans="1:13">
      <c r="A83" s="84"/>
      <c r="B83" s="209" t="s">
        <v>299</v>
      </c>
      <c r="C83" s="209" t="s">
        <v>300</v>
      </c>
      <c r="D83" s="210" t="s">
        <v>19</v>
      </c>
      <c r="E83" s="82">
        <v>3.3999999999999998E-3</v>
      </c>
      <c r="F83" s="49">
        <f t="shared" si="12"/>
        <v>0.30259999999999998</v>
      </c>
      <c r="G83" s="24"/>
      <c r="H83" s="24">
        <f>G83*F83</f>
        <v>0</v>
      </c>
      <c r="I83" s="24"/>
      <c r="J83" s="24"/>
      <c r="K83" s="24"/>
      <c r="L83" s="24"/>
      <c r="M83" s="24"/>
    </row>
    <row r="84" spans="1:13">
      <c r="A84" s="84"/>
      <c r="B84" s="209" t="s">
        <v>301</v>
      </c>
      <c r="C84" s="209" t="s">
        <v>251</v>
      </c>
      <c r="D84" s="210" t="s">
        <v>40</v>
      </c>
      <c r="E84" s="48">
        <v>1</v>
      </c>
      <c r="F84" s="49">
        <f t="shared" si="12"/>
        <v>89</v>
      </c>
      <c r="G84" s="24"/>
      <c r="H84" s="24">
        <f>G84*F84</f>
        <v>0</v>
      </c>
      <c r="I84" s="24"/>
      <c r="J84" s="24"/>
      <c r="K84" s="24"/>
      <c r="L84" s="24"/>
      <c r="M84" s="24">
        <f>L84+J84+H84</f>
        <v>0</v>
      </c>
    </row>
    <row r="85" spans="1:13" s="13" customFormat="1" ht="25.8" customHeight="1">
      <c r="A85" s="50">
        <v>12</v>
      </c>
      <c r="B85" s="208" t="s">
        <v>308</v>
      </c>
      <c r="C85" s="208" t="s">
        <v>309</v>
      </c>
      <c r="D85" s="50" t="s">
        <v>292</v>
      </c>
      <c r="E85" s="47"/>
      <c r="F85" s="47">
        <v>192.5</v>
      </c>
      <c r="G85" s="24"/>
      <c r="H85" s="21"/>
      <c r="I85" s="21"/>
      <c r="J85" s="21"/>
      <c r="K85" s="21"/>
      <c r="L85" s="21"/>
      <c r="M85" s="21"/>
    </row>
    <row r="86" spans="1:13">
      <c r="A86" s="84"/>
      <c r="B86" s="209" t="s">
        <v>116</v>
      </c>
      <c r="C86" s="209" t="s">
        <v>121</v>
      </c>
      <c r="D86" s="210" t="s">
        <v>34</v>
      </c>
      <c r="E86" s="48">
        <v>125</v>
      </c>
      <c r="F86" s="49">
        <f t="shared" ref="F86:F91" si="13">E86*$F$85</f>
        <v>24062.5</v>
      </c>
      <c r="G86" s="24"/>
      <c r="H86" s="24"/>
      <c r="I86" s="24"/>
      <c r="J86" s="24">
        <f>I86*F86</f>
        <v>0</v>
      </c>
      <c r="K86" s="24"/>
      <c r="L86" s="24"/>
      <c r="M86" s="24">
        <f>L86+J86+H86</f>
        <v>0</v>
      </c>
    </row>
    <row r="87" spans="1:13">
      <c r="A87" s="84"/>
      <c r="B87" s="209" t="s">
        <v>293</v>
      </c>
      <c r="C87" s="209" t="s">
        <v>294</v>
      </c>
      <c r="D87" s="210" t="s">
        <v>13</v>
      </c>
      <c r="E87" s="48">
        <v>0.11</v>
      </c>
      <c r="F87" s="49">
        <f t="shared" si="13"/>
        <v>21.175000000000001</v>
      </c>
      <c r="G87" s="24"/>
      <c r="H87" s="24">
        <f>G87*F87</f>
        <v>0</v>
      </c>
      <c r="I87" s="24"/>
      <c r="J87" s="24"/>
      <c r="K87" s="24"/>
      <c r="L87" s="24"/>
      <c r="M87" s="24">
        <f>L87+J87+H87</f>
        <v>0</v>
      </c>
    </row>
    <row r="88" spans="1:13">
      <c r="A88" s="84"/>
      <c r="B88" s="209" t="s">
        <v>310</v>
      </c>
      <c r="C88" s="209" t="s">
        <v>311</v>
      </c>
      <c r="D88" s="210" t="s">
        <v>34</v>
      </c>
      <c r="E88" s="48">
        <v>125</v>
      </c>
      <c r="F88" s="49">
        <f t="shared" si="13"/>
        <v>24062.5</v>
      </c>
      <c r="G88" s="24"/>
      <c r="H88" s="24">
        <f>G88*F88</f>
        <v>0</v>
      </c>
      <c r="I88" s="24"/>
      <c r="J88" s="24"/>
      <c r="K88" s="24"/>
      <c r="L88" s="24"/>
      <c r="M88" s="24">
        <f>L88+J88+H88</f>
        <v>0</v>
      </c>
    </row>
    <row r="89" spans="1:13">
      <c r="A89" s="84"/>
      <c r="B89" s="209" t="s">
        <v>297</v>
      </c>
      <c r="C89" s="209" t="s">
        <v>298</v>
      </c>
      <c r="D89" s="210" t="s">
        <v>19</v>
      </c>
      <c r="E89" s="82">
        <v>2.0999999999999999E-3</v>
      </c>
      <c r="F89" s="49">
        <f t="shared" si="13"/>
        <v>0.40425</v>
      </c>
      <c r="G89" s="24"/>
      <c r="H89" s="24">
        <f>G89*F89</f>
        <v>0</v>
      </c>
      <c r="I89" s="24"/>
      <c r="J89" s="24"/>
      <c r="K89" s="24"/>
      <c r="L89" s="24"/>
      <c r="M89" s="24">
        <f>L89+J89+H89</f>
        <v>0</v>
      </c>
    </row>
    <row r="90" spans="1:13">
      <c r="A90" s="84"/>
      <c r="B90" s="209" t="s">
        <v>299</v>
      </c>
      <c r="C90" s="209" t="s">
        <v>300</v>
      </c>
      <c r="D90" s="210" t="s">
        <v>19</v>
      </c>
      <c r="E90" s="82">
        <v>6.7999999999999996E-3</v>
      </c>
      <c r="F90" s="49">
        <f t="shared" si="13"/>
        <v>1.3089999999999999</v>
      </c>
      <c r="G90" s="24"/>
      <c r="H90" s="24">
        <f>G90*F90</f>
        <v>0</v>
      </c>
      <c r="I90" s="24"/>
      <c r="J90" s="24"/>
      <c r="K90" s="24"/>
      <c r="L90" s="24"/>
      <c r="M90" s="24"/>
    </row>
    <row r="91" spans="1:13">
      <c r="A91" s="84"/>
      <c r="B91" s="209" t="s">
        <v>301</v>
      </c>
      <c r="C91" s="209" t="s">
        <v>251</v>
      </c>
      <c r="D91" s="210" t="s">
        <v>40</v>
      </c>
      <c r="E91" s="48">
        <v>1</v>
      </c>
      <c r="F91" s="49">
        <f t="shared" si="13"/>
        <v>192.5</v>
      </c>
      <c r="G91" s="24"/>
      <c r="H91" s="24">
        <f>G91*F91</f>
        <v>0</v>
      </c>
      <c r="I91" s="24"/>
      <c r="J91" s="24"/>
      <c r="K91" s="24"/>
      <c r="L91" s="24"/>
      <c r="M91" s="24">
        <f>L91+J91+H91</f>
        <v>0</v>
      </c>
    </row>
    <row r="92" spans="1:13" s="13" customFormat="1" ht="25.8" customHeight="1">
      <c r="A92" s="50">
        <v>13</v>
      </c>
      <c r="B92" s="208" t="s">
        <v>312</v>
      </c>
      <c r="C92" s="208" t="s">
        <v>313</v>
      </c>
      <c r="D92" s="50" t="s">
        <v>292</v>
      </c>
      <c r="E92" s="47"/>
      <c r="F92" s="47">
        <v>7.5</v>
      </c>
      <c r="G92" s="24"/>
      <c r="H92" s="21"/>
      <c r="I92" s="21"/>
      <c r="J92" s="21"/>
      <c r="K92" s="21"/>
      <c r="L92" s="21"/>
      <c r="M92" s="21"/>
    </row>
    <row r="93" spans="1:13">
      <c r="A93" s="84"/>
      <c r="B93" s="209" t="s">
        <v>116</v>
      </c>
      <c r="C93" s="209" t="s">
        <v>121</v>
      </c>
      <c r="D93" s="210" t="s">
        <v>34</v>
      </c>
      <c r="E93" s="48">
        <v>125</v>
      </c>
      <c r="F93" s="49">
        <f t="shared" ref="F93:F98" si="14">E93*$F$92</f>
        <v>937.5</v>
      </c>
      <c r="G93" s="24"/>
      <c r="H93" s="24"/>
      <c r="I93" s="24"/>
      <c r="J93" s="24">
        <f>I93*F93</f>
        <v>0</v>
      </c>
      <c r="K93" s="24"/>
      <c r="L93" s="24"/>
      <c r="M93" s="24">
        <f>L93+J93+H93</f>
        <v>0</v>
      </c>
    </row>
    <row r="94" spans="1:13">
      <c r="A94" s="84"/>
      <c r="B94" s="209" t="s">
        <v>293</v>
      </c>
      <c r="C94" s="209" t="s">
        <v>294</v>
      </c>
      <c r="D94" s="210" t="s">
        <v>13</v>
      </c>
      <c r="E94" s="48">
        <v>0.11</v>
      </c>
      <c r="F94" s="49">
        <f t="shared" si="14"/>
        <v>0.82499999999999996</v>
      </c>
      <c r="G94" s="24"/>
      <c r="H94" s="24">
        <f>G94*F94</f>
        <v>0</v>
      </c>
      <c r="I94" s="24"/>
      <c r="J94" s="24"/>
      <c r="K94" s="24"/>
      <c r="L94" s="24"/>
      <c r="M94" s="24">
        <f>L94+J94+H94</f>
        <v>0</v>
      </c>
    </row>
    <row r="95" spans="1:13">
      <c r="A95" s="84"/>
      <c r="B95" s="209" t="s">
        <v>310</v>
      </c>
      <c r="C95" s="209" t="s">
        <v>311</v>
      </c>
      <c r="D95" s="210" t="s">
        <v>34</v>
      </c>
      <c r="E95" s="48">
        <v>125</v>
      </c>
      <c r="F95" s="49">
        <f t="shared" si="14"/>
        <v>937.5</v>
      </c>
      <c r="G95" s="24"/>
      <c r="H95" s="24">
        <f>G95*F95</f>
        <v>0</v>
      </c>
      <c r="I95" s="24"/>
      <c r="J95" s="24"/>
      <c r="K95" s="24"/>
      <c r="L95" s="24"/>
      <c r="M95" s="24">
        <f>L95+J95+H95</f>
        <v>0</v>
      </c>
    </row>
    <row r="96" spans="1:13">
      <c r="A96" s="84"/>
      <c r="B96" s="209" t="s">
        <v>297</v>
      </c>
      <c r="C96" s="209" t="s">
        <v>298</v>
      </c>
      <c r="D96" s="210" t="s">
        <v>19</v>
      </c>
      <c r="E96" s="82">
        <v>2.0999999999999999E-3</v>
      </c>
      <c r="F96" s="49">
        <f t="shared" si="14"/>
        <v>1.575E-2</v>
      </c>
      <c r="G96" s="24"/>
      <c r="H96" s="24">
        <f>G96*F96</f>
        <v>0</v>
      </c>
      <c r="I96" s="24"/>
      <c r="J96" s="24"/>
      <c r="K96" s="24"/>
      <c r="L96" s="24"/>
      <c r="M96" s="24">
        <f>L96+J96+H96</f>
        <v>0</v>
      </c>
    </row>
    <row r="97" spans="1:13">
      <c r="A97" s="84"/>
      <c r="B97" s="209" t="s">
        <v>299</v>
      </c>
      <c r="C97" s="209" t="s">
        <v>300</v>
      </c>
      <c r="D97" s="210" t="s">
        <v>19</v>
      </c>
      <c r="E97" s="82">
        <v>6.7999999999999996E-3</v>
      </c>
      <c r="F97" s="49">
        <f t="shared" si="14"/>
        <v>5.0999999999999997E-2</v>
      </c>
      <c r="G97" s="24"/>
      <c r="H97" s="24">
        <f>G97*F97</f>
        <v>0</v>
      </c>
      <c r="I97" s="24"/>
      <c r="J97" s="24"/>
      <c r="K97" s="24"/>
      <c r="L97" s="24"/>
      <c r="M97" s="24"/>
    </row>
    <row r="98" spans="1:13">
      <c r="A98" s="84"/>
      <c r="B98" s="209" t="s">
        <v>301</v>
      </c>
      <c r="C98" s="209" t="s">
        <v>251</v>
      </c>
      <c r="D98" s="210" t="s">
        <v>40</v>
      </c>
      <c r="E98" s="48">
        <v>1</v>
      </c>
      <c r="F98" s="49">
        <f t="shared" si="14"/>
        <v>7.5</v>
      </c>
      <c r="G98" s="24"/>
      <c r="H98" s="24">
        <f>G98*F98</f>
        <v>0</v>
      </c>
      <c r="I98" s="24"/>
      <c r="J98" s="24"/>
      <c r="K98" s="24"/>
      <c r="L98" s="24"/>
      <c r="M98" s="24">
        <f>L98+J98+H98</f>
        <v>0</v>
      </c>
    </row>
    <row r="99" spans="1:13" s="13" customFormat="1" ht="25.8" customHeight="1">
      <c r="A99" s="50">
        <v>14</v>
      </c>
      <c r="B99" s="211" t="s">
        <v>407</v>
      </c>
      <c r="C99" s="211" t="s">
        <v>401</v>
      </c>
      <c r="D99" s="50" t="s">
        <v>265</v>
      </c>
      <c r="E99" s="47"/>
      <c r="F99" s="47">
        <f>12*1.4</f>
        <v>16.799999999999997</v>
      </c>
      <c r="G99" s="21"/>
      <c r="H99" s="21"/>
      <c r="I99" s="21"/>
      <c r="J99" s="21"/>
      <c r="K99" s="21"/>
      <c r="L99" s="21"/>
      <c r="M99" s="21"/>
    </row>
    <row r="100" spans="1:13">
      <c r="A100" s="84"/>
      <c r="B100" s="214" t="s">
        <v>116</v>
      </c>
      <c r="C100" s="214" t="s">
        <v>237</v>
      </c>
      <c r="D100" s="210" t="s">
        <v>265</v>
      </c>
      <c r="E100" s="84">
        <v>1</v>
      </c>
      <c r="F100" s="85">
        <f>E100*F99</f>
        <v>16.799999999999997</v>
      </c>
      <c r="G100" s="81"/>
      <c r="H100" s="81"/>
      <c r="I100" s="81"/>
      <c r="J100" s="24">
        <f>I100*F100</f>
        <v>0</v>
      </c>
      <c r="K100" s="81"/>
      <c r="L100" s="81"/>
      <c r="M100" s="24">
        <f t="shared" ref="M100:M104" si="15">L100+J100+H100</f>
        <v>0</v>
      </c>
    </row>
    <row r="101" spans="1:13">
      <c r="A101" s="84"/>
      <c r="B101" s="214" t="s">
        <v>405</v>
      </c>
      <c r="C101" s="214" t="s">
        <v>402</v>
      </c>
      <c r="D101" s="210" t="s">
        <v>292</v>
      </c>
      <c r="E101" s="48">
        <f>0.2*0.1</f>
        <v>2.0000000000000004E-2</v>
      </c>
      <c r="F101" s="85">
        <f>E101*F99</f>
        <v>0.33600000000000002</v>
      </c>
      <c r="G101" s="24"/>
      <c r="H101" s="24">
        <f>G101*F101</f>
        <v>0</v>
      </c>
      <c r="I101" s="24"/>
      <c r="J101" s="24"/>
      <c r="K101" s="24"/>
      <c r="L101" s="24"/>
      <c r="M101" s="24">
        <f t="shared" si="15"/>
        <v>0</v>
      </c>
    </row>
    <row r="102" spans="1:13">
      <c r="A102" s="84"/>
      <c r="B102" s="214" t="s">
        <v>297</v>
      </c>
      <c r="C102" s="214" t="s">
        <v>298</v>
      </c>
      <c r="D102" s="210" t="s">
        <v>19</v>
      </c>
      <c r="E102" s="82">
        <f>0.6*5*0.099/1000</f>
        <v>2.9700000000000006E-4</v>
      </c>
      <c r="F102" s="85">
        <f>E102*F99</f>
        <v>4.9896000000000003E-3</v>
      </c>
      <c r="G102" s="24"/>
      <c r="H102" s="24">
        <f>F102*G102</f>
        <v>0</v>
      </c>
      <c r="I102" s="24"/>
      <c r="J102" s="24"/>
      <c r="K102" s="24"/>
      <c r="L102" s="24"/>
      <c r="M102" s="24">
        <f>L102+J102+H102</f>
        <v>0</v>
      </c>
    </row>
    <row r="103" spans="1:13">
      <c r="A103" s="84"/>
      <c r="B103" s="214" t="s">
        <v>403</v>
      </c>
      <c r="C103" s="214" t="s">
        <v>404</v>
      </c>
      <c r="D103" s="210" t="s">
        <v>19</v>
      </c>
      <c r="E103" s="82">
        <f>4.8*0.222/1000</f>
        <v>1.0655999999999999E-3</v>
      </c>
      <c r="F103" s="85">
        <f>E103*F99</f>
        <v>1.7902079999999994E-2</v>
      </c>
      <c r="G103" s="24"/>
      <c r="H103" s="24">
        <f>G103*F103</f>
        <v>0</v>
      </c>
      <c r="I103" s="24"/>
      <c r="J103" s="24"/>
      <c r="K103" s="24"/>
      <c r="L103" s="24"/>
      <c r="M103" s="24">
        <f t="shared" ref="M103:M107" si="16">L103+J103+H103</f>
        <v>0</v>
      </c>
    </row>
    <row r="104" spans="1:13">
      <c r="A104" s="84"/>
      <c r="B104" s="214" t="s">
        <v>301</v>
      </c>
      <c r="C104" s="214" t="s">
        <v>251</v>
      </c>
      <c r="D104" s="210" t="s">
        <v>252</v>
      </c>
      <c r="E104" s="48">
        <v>1</v>
      </c>
      <c r="F104" s="85">
        <f>E104*F99</f>
        <v>16.799999999999997</v>
      </c>
      <c r="G104" s="24"/>
      <c r="H104" s="24">
        <f>G104*F104</f>
        <v>0</v>
      </c>
      <c r="I104" s="24"/>
      <c r="J104" s="24"/>
      <c r="K104" s="24"/>
      <c r="L104" s="24"/>
      <c r="M104" s="24">
        <f t="shared" si="16"/>
        <v>0</v>
      </c>
    </row>
    <row r="105" spans="1:13" s="13" customFormat="1" ht="25.8" customHeight="1">
      <c r="A105" s="50">
        <v>15</v>
      </c>
      <c r="B105" s="211" t="s">
        <v>408</v>
      </c>
      <c r="C105" s="211" t="s">
        <v>406</v>
      </c>
      <c r="D105" s="50" t="s">
        <v>265</v>
      </c>
      <c r="E105" s="47"/>
      <c r="F105" s="47">
        <f>20*1.4</f>
        <v>28</v>
      </c>
      <c r="G105" s="21"/>
      <c r="H105" s="21"/>
      <c r="I105" s="21"/>
      <c r="J105" s="21"/>
      <c r="K105" s="21"/>
      <c r="L105" s="21"/>
      <c r="M105" s="21"/>
    </row>
    <row r="106" spans="1:13">
      <c r="A106" s="84"/>
      <c r="B106" s="214" t="s">
        <v>116</v>
      </c>
      <c r="C106" s="214" t="s">
        <v>237</v>
      </c>
      <c r="D106" s="210" t="s">
        <v>265</v>
      </c>
      <c r="E106" s="84">
        <v>1</v>
      </c>
      <c r="F106" s="85">
        <f>E106*F105</f>
        <v>28</v>
      </c>
      <c r="G106" s="81"/>
      <c r="H106" s="81"/>
      <c r="I106" s="81"/>
      <c r="J106" s="24">
        <f>I106*F106</f>
        <v>0</v>
      </c>
      <c r="K106" s="81"/>
      <c r="L106" s="81"/>
      <c r="M106" s="24">
        <f t="shared" ref="M106:M110" si="17">L106+J106+H106</f>
        <v>0</v>
      </c>
    </row>
    <row r="107" spans="1:13">
      <c r="A107" s="84"/>
      <c r="B107" s="214" t="s">
        <v>405</v>
      </c>
      <c r="C107" s="214" t="s">
        <v>402</v>
      </c>
      <c r="D107" s="210" t="s">
        <v>292</v>
      </c>
      <c r="E107" s="48">
        <f>0.2*0.2</f>
        <v>4.0000000000000008E-2</v>
      </c>
      <c r="F107" s="84">
        <f>E107*F105</f>
        <v>1.1200000000000001</v>
      </c>
      <c r="G107" s="24"/>
      <c r="H107" s="24">
        <f>G107*F107</f>
        <v>0</v>
      </c>
      <c r="I107" s="24"/>
      <c r="J107" s="24"/>
      <c r="K107" s="24"/>
      <c r="L107" s="24"/>
      <c r="M107" s="24">
        <f t="shared" si="17"/>
        <v>0</v>
      </c>
    </row>
    <row r="108" spans="1:13">
      <c r="A108" s="84"/>
      <c r="B108" s="214" t="s">
        <v>297</v>
      </c>
      <c r="C108" s="214" t="s">
        <v>298</v>
      </c>
      <c r="D108" s="210" t="s">
        <v>19</v>
      </c>
      <c r="E108" s="82">
        <f>1*5*0.099/1000</f>
        <v>4.95E-4</v>
      </c>
      <c r="F108" s="84">
        <f>E108*F105</f>
        <v>1.3860000000000001E-2</v>
      </c>
      <c r="G108" s="24"/>
      <c r="H108" s="24">
        <f>F108*G108</f>
        <v>0</v>
      </c>
      <c r="I108" s="24"/>
      <c r="J108" s="24"/>
      <c r="K108" s="24"/>
      <c r="L108" s="24"/>
      <c r="M108" s="24">
        <f>L108+J108+H108</f>
        <v>0</v>
      </c>
    </row>
    <row r="109" spans="1:13">
      <c r="A109" s="84"/>
      <c r="B109" s="214" t="s">
        <v>403</v>
      </c>
      <c r="C109" s="214" t="s">
        <v>404</v>
      </c>
      <c r="D109" s="210" t="s">
        <v>19</v>
      </c>
      <c r="E109" s="82">
        <f>4.8*0.222/1000</f>
        <v>1.0655999999999999E-3</v>
      </c>
      <c r="F109" s="84">
        <f>E109*F105</f>
        <v>2.9836799999999997E-2</v>
      </c>
      <c r="G109" s="24"/>
      <c r="H109" s="24">
        <f>G109*F109</f>
        <v>0</v>
      </c>
      <c r="I109" s="24"/>
      <c r="J109" s="24"/>
      <c r="K109" s="24"/>
      <c r="L109" s="24"/>
      <c r="M109" s="24">
        <f t="shared" ref="M109:M110" si="18">L109+J109+H109</f>
        <v>0</v>
      </c>
    </row>
    <row r="110" spans="1:13">
      <c r="A110" s="84"/>
      <c r="B110" s="214" t="s">
        <v>301</v>
      </c>
      <c r="C110" s="214" t="s">
        <v>251</v>
      </c>
      <c r="D110" s="210" t="s">
        <v>252</v>
      </c>
      <c r="E110" s="48">
        <v>1</v>
      </c>
      <c r="F110" s="84">
        <f>E110*F105</f>
        <v>28</v>
      </c>
      <c r="G110" s="24"/>
      <c r="H110" s="24">
        <f>G110*F110</f>
        <v>0</v>
      </c>
      <c r="I110" s="24"/>
      <c r="J110" s="24"/>
      <c r="K110" s="24"/>
      <c r="L110" s="24"/>
      <c r="M110" s="24">
        <f t="shared" si="18"/>
        <v>0</v>
      </c>
    </row>
    <row r="111" spans="1:13" s="13" customFormat="1" ht="25.8" customHeight="1">
      <c r="A111" s="50">
        <v>16</v>
      </c>
      <c r="B111" s="208" t="s">
        <v>314</v>
      </c>
      <c r="C111" s="208" t="s">
        <v>315</v>
      </c>
      <c r="D111" s="50" t="s">
        <v>292</v>
      </c>
      <c r="E111" s="47"/>
      <c r="F111" s="47">
        <v>1.25</v>
      </c>
      <c r="G111" s="21"/>
      <c r="H111" s="21"/>
      <c r="I111" s="21"/>
      <c r="J111" s="21"/>
      <c r="K111" s="21"/>
      <c r="L111" s="21"/>
      <c r="M111" s="21"/>
    </row>
    <row r="112" spans="1:13">
      <c r="A112" s="84"/>
      <c r="B112" s="209" t="s">
        <v>116</v>
      </c>
      <c r="C112" s="209" t="s">
        <v>237</v>
      </c>
      <c r="D112" s="210" t="s">
        <v>292</v>
      </c>
      <c r="E112" s="84">
        <v>1</v>
      </c>
      <c r="F112" s="85">
        <f>E112*$F$111</f>
        <v>1.25</v>
      </c>
      <c r="G112" s="81"/>
      <c r="H112" s="81"/>
      <c r="I112" s="81"/>
      <c r="J112" s="24">
        <f>I112*F112</f>
        <v>0</v>
      </c>
      <c r="K112" s="81"/>
      <c r="L112" s="81"/>
      <c r="M112" s="24">
        <f t="shared" ref="M112:M117" si="19">L112+J112+H112</f>
        <v>0</v>
      </c>
    </row>
    <row r="113" spans="1:13">
      <c r="A113" s="84"/>
      <c r="B113" s="209" t="s">
        <v>64</v>
      </c>
      <c r="C113" s="209" t="s">
        <v>67</v>
      </c>
      <c r="D113" s="210" t="s">
        <v>292</v>
      </c>
      <c r="E113" s="48">
        <v>1.0149999999999999</v>
      </c>
      <c r="F113" s="85">
        <f>E113*$F$111</f>
        <v>1.2687499999999998</v>
      </c>
      <c r="G113" s="24"/>
      <c r="H113" s="24">
        <f>G113*F113</f>
        <v>0</v>
      </c>
      <c r="I113" s="24"/>
      <c r="J113" s="24"/>
      <c r="K113" s="24"/>
      <c r="L113" s="24"/>
      <c r="M113" s="24">
        <f t="shared" si="19"/>
        <v>0</v>
      </c>
    </row>
    <row r="114" spans="1:13">
      <c r="A114" s="84"/>
      <c r="B114" s="209" t="s">
        <v>154</v>
      </c>
      <c r="C114" s="209" t="s">
        <v>153</v>
      </c>
      <c r="D114" s="210" t="s">
        <v>19</v>
      </c>
      <c r="E114" s="82">
        <v>1.67E-2</v>
      </c>
      <c r="F114" s="86">
        <f>E114*1.03</f>
        <v>1.7201000000000001E-2</v>
      </c>
      <c r="G114" s="24"/>
      <c r="H114" s="24">
        <f>G114*F114</f>
        <v>0</v>
      </c>
      <c r="I114" s="24"/>
      <c r="J114" s="24"/>
      <c r="K114" s="24"/>
      <c r="L114" s="24"/>
      <c r="M114" s="24">
        <f t="shared" si="19"/>
        <v>0</v>
      </c>
    </row>
    <row r="115" spans="1:13">
      <c r="A115" s="84"/>
      <c r="B115" s="209" t="s">
        <v>152</v>
      </c>
      <c r="C115" s="209" t="s">
        <v>151</v>
      </c>
      <c r="D115" s="210" t="s">
        <v>19</v>
      </c>
      <c r="E115" s="82">
        <v>5.4199999999999998E-2</v>
      </c>
      <c r="F115" s="86">
        <f>E115*1.03</f>
        <v>5.5826000000000001E-2</v>
      </c>
      <c r="G115" s="24"/>
      <c r="H115" s="24">
        <f>F115*G115</f>
        <v>0</v>
      </c>
      <c r="I115" s="24"/>
      <c r="J115" s="24"/>
      <c r="K115" s="24"/>
      <c r="L115" s="24"/>
      <c r="M115" s="24">
        <f t="shared" si="19"/>
        <v>0</v>
      </c>
    </row>
    <row r="116" spans="1:13">
      <c r="A116" s="84"/>
      <c r="B116" s="209" t="s">
        <v>159</v>
      </c>
      <c r="C116" s="209" t="s">
        <v>160</v>
      </c>
      <c r="D116" s="210" t="s">
        <v>19</v>
      </c>
      <c r="E116" s="82">
        <v>7.4800000000000005E-2</v>
      </c>
      <c r="F116" s="86">
        <f>E116*1.03</f>
        <v>7.7044000000000001E-2</v>
      </c>
      <c r="G116" s="24"/>
      <c r="H116" s="24">
        <f>F116*G116</f>
        <v>0</v>
      </c>
      <c r="I116" s="24"/>
      <c r="J116" s="24"/>
      <c r="K116" s="24"/>
      <c r="L116" s="24"/>
      <c r="M116" s="24">
        <f t="shared" si="19"/>
        <v>0</v>
      </c>
    </row>
    <row r="117" spans="1:13">
      <c r="A117" s="84"/>
      <c r="B117" s="209" t="s">
        <v>301</v>
      </c>
      <c r="C117" s="209" t="s">
        <v>251</v>
      </c>
      <c r="D117" s="210" t="s">
        <v>252</v>
      </c>
      <c r="E117" s="48">
        <v>1</v>
      </c>
      <c r="F117" s="85">
        <f>E117*$F$111</f>
        <v>1.25</v>
      </c>
      <c r="G117" s="24"/>
      <c r="H117" s="24">
        <f>G117*F117</f>
        <v>0</v>
      </c>
      <c r="I117" s="24"/>
      <c r="J117" s="24"/>
      <c r="K117" s="24"/>
      <c r="L117" s="24"/>
      <c r="M117" s="24">
        <f t="shared" si="19"/>
        <v>0</v>
      </c>
    </row>
    <row r="118" spans="1:13" s="20" customFormat="1" ht="19.95" customHeight="1">
      <c r="A118" s="14"/>
      <c r="B118" s="32" t="s">
        <v>38</v>
      </c>
      <c r="C118" s="143" t="s">
        <v>39</v>
      </c>
      <c r="D118" s="1"/>
      <c r="E118" s="1"/>
      <c r="F118" s="18"/>
      <c r="G118" s="8"/>
      <c r="H118" s="8">
        <f>SUM(H7:H117)</f>
        <v>0</v>
      </c>
      <c r="I118" s="8"/>
      <c r="J118" s="8">
        <f>SUM(J7:J117)</f>
        <v>0</v>
      </c>
      <c r="K118" s="8"/>
      <c r="L118" s="8">
        <f>SUM(L7:L117)</f>
        <v>0</v>
      </c>
      <c r="M118" s="8">
        <f>SUM(M7:M117)</f>
        <v>0</v>
      </c>
    </row>
    <row r="119" spans="1:13" s="20" customFormat="1" ht="31.95" customHeight="1">
      <c r="A119" s="14"/>
      <c r="B119" s="36" t="s">
        <v>285</v>
      </c>
      <c r="C119" s="143" t="s">
        <v>286</v>
      </c>
      <c r="D119" s="37">
        <v>0</v>
      </c>
      <c r="E119" s="1"/>
      <c r="F119" s="18"/>
      <c r="G119" s="8"/>
      <c r="H119" s="8"/>
      <c r="I119" s="8"/>
      <c r="J119" s="8"/>
      <c r="K119" s="8"/>
      <c r="L119" s="8"/>
      <c r="M119" s="38">
        <f>(H118)*D119</f>
        <v>0</v>
      </c>
    </row>
    <row r="120" spans="1:13" s="20" customFormat="1" ht="19.95" customHeight="1">
      <c r="A120" s="14"/>
      <c r="B120" s="32" t="s">
        <v>38</v>
      </c>
      <c r="C120" s="143" t="s">
        <v>39</v>
      </c>
      <c r="D120" s="2"/>
      <c r="E120" s="1"/>
      <c r="F120" s="18"/>
      <c r="G120" s="8"/>
      <c r="H120" s="8"/>
      <c r="I120" s="8"/>
      <c r="J120" s="8"/>
      <c r="K120" s="8"/>
      <c r="L120" s="8"/>
      <c r="M120" s="38">
        <f>M119+M118</f>
        <v>0</v>
      </c>
    </row>
    <row r="121" spans="1:13" s="20" customFormat="1" ht="19.95" customHeight="1">
      <c r="A121" s="14"/>
      <c r="B121" s="32" t="s">
        <v>43</v>
      </c>
      <c r="C121" s="39" t="s">
        <v>44</v>
      </c>
      <c r="D121" s="2">
        <v>0</v>
      </c>
      <c r="E121" s="1"/>
      <c r="F121" s="1"/>
      <c r="G121" s="8"/>
      <c r="H121" s="8"/>
      <c r="I121" s="8"/>
      <c r="J121" s="8"/>
      <c r="K121" s="8"/>
      <c r="L121" s="8"/>
      <c r="M121" s="31">
        <f>M120*D121</f>
        <v>0</v>
      </c>
    </row>
    <row r="122" spans="1:13" s="20" customFormat="1" ht="19.95" customHeight="1">
      <c r="A122" s="14"/>
      <c r="B122" s="32" t="s">
        <v>38</v>
      </c>
      <c r="C122" s="143" t="s">
        <v>39</v>
      </c>
      <c r="D122" s="2"/>
      <c r="E122" s="1"/>
      <c r="F122" s="1"/>
      <c r="G122" s="8"/>
      <c r="H122" s="8"/>
      <c r="I122" s="8"/>
      <c r="J122" s="8"/>
      <c r="K122" s="8"/>
      <c r="L122" s="8"/>
      <c r="M122" s="38">
        <f>SUM(M120:M121)</f>
        <v>0</v>
      </c>
    </row>
    <row r="123" spans="1:13" s="20" customFormat="1" ht="19.95" customHeight="1">
      <c r="A123" s="14"/>
      <c r="B123" s="32" t="s">
        <v>45</v>
      </c>
      <c r="C123" s="39" t="s">
        <v>46</v>
      </c>
      <c r="D123" s="2">
        <v>0</v>
      </c>
      <c r="E123" s="1"/>
      <c r="F123" s="1"/>
      <c r="G123" s="8"/>
      <c r="H123" s="8"/>
      <c r="I123" s="8"/>
      <c r="J123" s="8"/>
      <c r="K123" s="8"/>
      <c r="L123" s="8"/>
      <c r="M123" s="31">
        <f>M122*D123</f>
        <v>0</v>
      </c>
    </row>
    <row r="124" spans="1:13" s="20" customFormat="1" ht="19.95" customHeight="1">
      <c r="A124" s="14"/>
      <c r="B124" s="32" t="s">
        <v>38</v>
      </c>
      <c r="C124" s="143" t="s">
        <v>39</v>
      </c>
      <c r="D124" s="2"/>
      <c r="E124" s="1"/>
      <c r="F124" s="1"/>
      <c r="G124" s="8"/>
      <c r="H124" s="8"/>
      <c r="I124" s="8"/>
      <c r="J124" s="8"/>
      <c r="K124" s="8"/>
      <c r="L124" s="8"/>
      <c r="M124" s="40">
        <f>SUM(M122:M123)</f>
        <v>0</v>
      </c>
    </row>
    <row r="125" spans="1:13" s="20" customFormat="1" ht="19.95" customHeight="1">
      <c r="A125" s="14"/>
      <c r="B125" s="32" t="s">
        <v>47</v>
      </c>
      <c r="C125" s="39" t="s">
        <v>48</v>
      </c>
      <c r="D125" s="2">
        <v>0.18</v>
      </c>
      <c r="E125" s="1"/>
      <c r="F125" s="1"/>
      <c r="G125" s="8"/>
      <c r="H125" s="8"/>
      <c r="I125" s="8"/>
      <c r="J125" s="8"/>
      <c r="K125" s="8"/>
      <c r="L125" s="8"/>
      <c r="M125" s="31">
        <f>M124*D125</f>
        <v>0</v>
      </c>
    </row>
    <row r="126" spans="1:13" s="20" customFormat="1" ht="25.95" customHeight="1" thickBot="1">
      <c r="A126" s="41"/>
      <c r="B126" s="42" t="s">
        <v>49</v>
      </c>
      <c r="C126" s="43" t="s">
        <v>50</v>
      </c>
      <c r="D126" s="44" t="s">
        <v>40</v>
      </c>
      <c r="E126" s="44"/>
      <c r="F126" s="44"/>
      <c r="G126" s="45"/>
      <c r="H126" s="45"/>
      <c r="I126" s="45"/>
      <c r="J126" s="45"/>
      <c r="K126" s="45"/>
      <c r="L126" s="45"/>
      <c r="M126" s="46">
        <f>SUM(M125:M125)</f>
        <v>0</v>
      </c>
    </row>
  </sheetData>
  <sheetProtection algorithmName="SHA-512" hashValue="rhIb32G6ojSYz0+/IhC+MBv0bv+1HWr5pHcYplN6gA1lK1tiiVhUzuiAxJqdItd8qydUM6tfHxUkhremn5wrDw==" saltValue="Et2fVTbQhkpIlEsYnySXpA==" spinCount="100000" sheet="1" objects="1" scenarios="1" formatCells="0" formatColumns="0" formatRows="0"/>
  <protectedRanges>
    <protectedRange sqref="D121 D123" name="Range4_1_1"/>
    <protectedRange sqref="G8" name="Range1_5"/>
    <protectedRange sqref="I8" name="Range2_4"/>
    <protectedRange sqref="K8" name="Range3_2"/>
    <protectedRange sqref="G63" name="Range1_5_1"/>
    <protectedRange sqref="I63" name="Range2_4_1"/>
    <protectedRange sqref="K63" name="Range3_2_1"/>
    <protectedRange sqref="K59:K61 K114:K116 K53:K54 K47:K48 K108:K109 K102:K103" name="Range3_1"/>
    <protectedRange sqref="I59 I114 I54 I48 I109 I103" name="Range2_3"/>
    <protectedRange sqref="G59:G61 G114:G116 G53:G54 G47:G48 G108:G109 G102:G103" name="Range1_5_2"/>
    <protectedRange sqref="I60:I61 I115:I116 I53 I47 I108 I102" name="Range2_4_2"/>
  </protectedRanges>
  <autoFilter ref="A6:M126" xr:uid="{39D56F80-F071-4C39-B78E-B13AF76F7905}"/>
  <mergeCells count="11">
    <mergeCell ref="M4:M5"/>
    <mergeCell ref="B1:M2"/>
    <mergeCell ref="A4:A5"/>
    <mergeCell ref="B4:B5"/>
    <mergeCell ref="C4:C5"/>
    <mergeCell ref="D4:D5"/>
    <mergeCell ref="E4:E5"/>
    <mergeCell ref="F4:F5"/>
    <mergeCell ref="G4:H4"/>
    <mergeCell ref="I4:J4"/>
    <mergeCell ref="K4:L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4251E-E743-441D-970A-DFADA8FB71B3}">
  <sheetPr>
    <tabColor rgb="FF92D050"/>
  </sheetPr>
  <dimension ref="A1:M137"/>
  <sheetViews>
    <sheetView zoomScale="64" zoomScaleNormal="85" workbookViewId="0">
      <pane xSplit="3" ySplit="7" topLeftCell="D119" activePane="bottomRight" state="frozen"/>
      <selection activeCell="E415" sqref="E415"/>
      <selection pane="topRight" activeCell="E415" sqref="E415"/>
      <selection pane="bottomLeft" activeCell="E415" sqref="E415"/>
      <selection pane="bottomRight" activeCell="F126" sqref="F126"/>
    </sheetView>
  </sheetViews>
  <sheetFormatPr defaultRowHeight="14.4"/>
  <cols>
    <col min="1" max="1" width="8.88671875" style="12"/>
    <col min="2" max="2" width="55.5546875" style="12" bestFit="1" customWidth="1"/>
    <col min="3" max="3" width="58" style="12" customWidth="1"/>
    <col min="4" max="4" width="14.6640625" style="74" bestFit="1" customWidth="1"/>
    <col min="5" max="5" width="15.44140625" style="12" bestFit="1" customWidth="1"/>
    <col min="6" max="6" width="9.88671875" style="12" bestFit="1" customWidth="1"/>
    <col min="7" max="7" width="13.44140625" style="12" bestFit="1" customWidth="1"/>
    <col min="8" max="8" width="12.44140625" style="12" bestFit="1" customWidth="1"/>
    <col min="9" max="9" width="11.21875" style="12" bestFit="1" customWidth="1"/>
    <col min="10" max="10" width="11.88671875" style="12" bestFit="1" customWidth="1"/>
    <col min="11" max="11" width="11.109375" style="12" bestFit="1" customWidth="1"/>
    <col min="12" max="12" width="8.88671875" style="12" bestFit="1" customWidth="1"/>
    <col min="13" max="13" width="14.33203125" style="12" bestFit="1" customWidth="1"/>
    <col min="14" max="16384" width="8.88671875" style="12"/>
  </cols>
  <sheetData>
    <row r="1" spans="1:13" s="10" customFormat="1" ht="19.95" customHeight="1">
      <c r="A1" s="9"/>
      <c r="B1" s="144" t="s">
        <v>390</v>
      </c>
      <c r="C1" s="145"/>
      <c r="D1" s="145"/>
      <c r="E1" s="145"/>
      <c r="F1" s="145"/>
      <c r="G1" s="145"/>
      <c r="H1" s="145"/>
      <c r="I1" s="145"/>
      <c r="J1" s="145"/>
      <c r="K1" s="145"/>
      <c r="L1" s="145"/>
      <c r="M1" s="145"/>
    </row>
    <row r="2" spans="1:13" ht="30.6" customHeight="1">
      <c r="A2" s="11"/>
      <c r="B2" s="145"/>
      <c r="C2" s="145"/>
      <c r="D2" s="145"/>
      <c r="E2" s="145"/>
      <c r="F2" s="145"/>
      <c r="G2" s="145"/>
      <c r="H2" s="145"/>
      <c r="I2" s="145"/>
      <c r="J2" s="145"/>
      <c r="K2" s="145"/>
      <c r="L2" s="145"/>
      <c r="M2" s="145"/>
    </row>
    <row r="3" spans="1:13" ht="30.6" customHeight="1" thickBot="1">
      <c r="A3" s="11"/>
      <c r="B3" s="140"/>
      <c r="C3" s="140"/>
      <c r="D3" s="140"/>
      <c r="E3" s="140"/>
      <c r="F3" s="140"/>
      <c r="G3" s="140"/>
      <c r="H3" s="140"/>
      <c r="I3" s="140"/>
      <c r="J3" s="140"/>
      <c r="K3" s="140"/>
      <c r="L3" s="140"/>
      <c r="M3" s="140"/>
    </row>
    <row r="4" spans="1:13" s="13" customFormat="1" ht="27.6" customHeight="1">
      <c r="A4" s="147" t="s">
        <v>0</v>
      </c>
      <c r="B4" s="149" t="s">
        <v>1</v>
      </c>
      <c r="C4" s="151" t="s">
        <v>2</v>
      </c>
      <c r="D4" s="151" t="s">
        <v>3</v>
      </c>
      <c r="E4" s="151" t="s">
        <v>4</v>
      </c>
      <c r="F4" s="151" t="s">
        <v>5</v>
      </c>
      <c r="G4" s="151" t="s">
        <v>166</v>
      </c>
      <c r="H4" s="151"/>
      <c r="I4" s="151" t="s">
        <v>6</v>
      </c>
      <c r="J4" s="151"/>
      <c r="K4" s="151" t="s">
        <v>7</v>
      </c>
      <c r="L4" s="151"/>
      <c r="M4" s="155" t="s">
        <v>8</v>
      </c>
    </row>
    <row r="5" spans="1:13" s="13" customFormat="1" ht="33.6" customHeight="1">
      <c r="A5" s="148"/>
      <c r="B5" s="150"/>
      <c r="C5" s="152"/>
      <c r="D5" s="152"/>
      <c r="E5" s="152"/>
      <c r="F5" s="152"/>
      <c r="G5" s="143" t="s">
        <v>9</v>
      </c>
      <c r="H5" s="143" t="s">
        <v>10</v>
      </c>
      <c r="I5" s="143" t="s">
        <v>9</v>
      </c>
      <c r="J5" s="143" t="s">
        <v>10</v>
      </c>
      <c r="K5" s="143" t="s">
        <v>9</v>
      </c>
      <c r="L5" s="143" t="s">
        <v>10</v>
      </c>
      <c r="M5" s="156"/>
    </row>
    <row r="6" spans="1:13" s="13" customFormat="1" ht="16.95" customHeight="1">
      <c r="A6" s="141">
        <v>1</v>
      </c>
      <c r="B6" s="142">
        <v>2</v>
      </c>
      <c r="C6" s="142">
        <v>3</v>
      </c>
      <c r="D6" s="142">
        <v>4</v>
      </c>
      <c r="E6" s="142">
        <v>5</v>
      </c>
      <c r="F6" s="142">
        <v>6</v>
      </c>
      <c r="G6" s="142">
        <v>7</v>
      </c>
      <c r="H6" s="142">
        <v>8</v>
      </c>
      <c r="I6" s="142">
        <v>9</v>
      </c>
      <c r="J6" s="142">
        <v>10</v>
      </c>
      <c r="K6" s="142">
        <v>11</v>
      </c>
      <c r="L6" s="142">
        <v>12</v>
      </c>
      <c r="M6" s="142">
        <v>13</v>
      </c>
    </row>
    <row r="7" spans="1:13" s="13" customFormat="1" ht="21.6" customHeight="1">
      <c r="A7" s="61"/>
      <c r="B7" s="62" t="s">
        <v>317</v>
      </c>
      <c r="C7" s="62" t="s">
        <v>289</v>
      </c>
      <c r="D7" s="63"/>
      <c r="E7" s="63"/>
      <c r="F7" s="63"/>
      <c r="G7" s="64"/>
      <c r="H7" s="64"/>
      <c r="I7" s="64"/>
      <c r="J7" s="64"/>
      <c r="K7" s="64"/>
      <c r="L7" s="64"/>
      <c r="M7" s="65"/>
    </row>
    <row r="8" spans="1:13" s="20" customFormat="1" ht="19.95" customHeight="1">
      <c r="A8" s="14"/>
      <c r="B8" s="180" t="s">
        <v>52</v>
      </c>
      <c r="C8" s="181" t="s">
        <v>54</v>
      </c>
      <c r="D8" s="169"/>
      <c r="E8" s="54"/>
      <c r="F8" s="54"/>
      <c r="G8" s="1"/>
      <c r="H8" s="1"/>
      <c r="I8" s="1"/>
      <c r="J8" s="1"/>
      <c r="K8" s="1"/>
      <c r="L8" s="1"/>
      <c r="M8" s="19"/>
    </row>
    <row r="9" spans="1:13" s="13" customFormat="1" ht="24">
      <c r="A9" s="142">
        <v>1</v>
      </c>
      <c r="B9" s="208" t="s">
        <v>361</v>
      </c>
      <c r="C9" s="208" t="s">
        <v>362</v>
      </c>
      <c r="D9" s="50" t="s">
        <v>13</v>
      </c>
      <c r="E9" s="59"/>
      <c r="F9" s="59">
        <f>6.6+8.35+3.7</f>
        <v>18.649999999999999</v>
      </c>
      <c r="G9" s="21"/>
      <c r="H9" s="21"/>
      <c r="I9" s="21"/>
      <c r="J9" s="21"/>
      <c r="K9" s="21"/>
      <c r="L9" s="21"/>
      <c r="M9" s="21"/>
    </row>
    <row r="10" spans="1:13">
      <c r="A10" s="22"/>
      <c r="B10" s="209" t="s">
        <v>116</v>
      </c>
      <c r="C10" s="209" t="s">
        <v>121</v>
      </c>
      <c r="D10" s="210" t="s">
        <v>34</v>
      </c>
      <c r="E10" s="58">
        <v>65</v>
      </c>
      <c r="F10" s="59">
        <f t="shared" ref="F10:F15" si="0">E10*$F$9</f>
        <v>1212.25</v>
      </c>
      <c r="G10" s="24"/>
      <c r="H10" s="24"/>
      <c r="I10" s="24"/>
      <c r="J10" s="24">
        <f>I10*F10</f>
        <v>0</v>
      </c>
      <c r="K10" s="24"/>
      <c r="L10" s="24"/>
      <c r="M10" s="24">
        <f t="shared" ref="M10:M15" si="1">L10+J10+H10</f>
        <v>0</v>
      </c>
    </row>
    <row r="11" spans="1:13">
      <c r="A11" s="22"/>
      <c r="B11" s="209" t="s">
        <v>293</v>
      </c>
      <c r="C11" s="209" t="s">
        <v>294</v>
      </c>
      <c r="D11" s="210" t="s">
        <v>13</v>
      </c>
      <c r="E11" s="58">
        <v>0.12</v>
      </c>
      <c r="F11" s="59">
        <f t="shared" si="0"/>
        <v>2.2379999999999995</v>
      </c>
      <c r="G11" s="24"/>
      <c r="H11" s="24">
        <f>G11*F11</f>
        <v>0</v>
      </c>
      <c r="I11" s="24"/>
      <c r="J11" s="24"/>
      <c r="K11" s="24"/>
      <c r="L11" s="24"/>
      <c r="M11" s="24">
        <f t="shared" si="1"/>
        <v>0</v>
      </c>
    </row>
    <row r="12" spans="1:13">
      <c r="A12" s="22"/>
      <c r="B12" s="209" t="s">
        <v>304</v>
      </c>
      <c r="C12" s="209" t="s">
        <v>305</v>
      </c>
      <c r="D12" s="210" t="s">
        <v>34</v>
      </c>
      <c r="E12" s="58">
        <v>65</v>
      </c>
      <c r="F12" s="59">
        <f t="shared" si="0"/>
        <v>1212.25</v>
      </c>
      <c r="G12" s="24"/>
      <c r="H12" s="24">
        <f>G12*F12</f>
        <v>0</v>
      </c>
      <c r="I12" s="24"/>
      <c r="J12" s="24"/>
      <c r="K12" s="24"/>
      <c r="L12" s="24"/>
      <c r="M12" s="24">
        <f t="shared" si="1"/>
        <v>0</v>
      </c>
    </row>
    <row r="13" spans="1:13" s="68" customFormat="1">
      <c r="A13" s="66"/>
      <c r="B13" s="215" t="s">
        <v>297</v>
      </c>
      <c r="C13" s="215" t="s">
        <v>298</v>
      </c>
      <c r="D13" s="216" t="s">
        <v>19</v>
      </c>
      <c r="E13" s="76">
        <v>1.4E-3</v>
      </c>
      <c r="F13" s="60">
        <f t="shared" si="0"/>
        <v>2.6109999999999998E-2</v>
      </c>
      <c r="G13" s="67"/>
      <c r="H13" s="67">
        <f>G13*F13</f>
        <v>0</v>
      </c>
      <c r="I13" s="67"/>
      <c r="J13" s="67"/>
      <c r="K13" s="67"/>
      <c r="L13" s="67"/>
      <c r="M13" s="67">
        <f t="shared" si="1"/>
        <v>0</v>
      </c>
    </row>
    <row r="14" spans="1:13">
      <c r="A14" s="22"/>
      <c r="B14" s="209" t="s">
        <v>299</v>
      </c>
      <c r="C14" s="209" t="s">
        <v>300</v>
      </c>
      <c r="D14" s="210" t="s">
        <v>19</v>
      </c>
      <c r="E14" s="76">
        <v>3.3999999999999998E-3</v>
      </c>
      <c r="F14" s="77">
        <f t="shared" si="0"/>
        <v>6.3409999999999994E-2</v>
      </c>
      <c r="G14" s="24"/>
      <c r="H14" s="24">
        <f>G14*F14</f>
        <v>0</v>
      </c>
      <c r="I14" s="24"/>
      <c r="J14" s="24"/>
      <c r="K14" s="24"/>
      <c r="L14" s="24"/>
      <c r="M14" s="24">
        <f t="shared" si="1"/>
        <v>0</v>
      </c>
    </row>
    <row r="15" spans="1:13">
      <c r="A15" s="22"/>
      <c r="B15" s="209" t="s">
        <v>301</v>
      </c>
      <c r="C15" s="209" t="s">
        <v>251</v>
      </c>
      <c r="D15" s="210" t="s">
        <v>40</v>
      </c>
      <c r="E15" s="58">
        <v>1</v>
      </c>
      <c r="F15" s="59">
        <f t="shared" si="0"/>
        <v>18.649999999999999</v>
      </c>
      <c r="G15" s="24"/>
      <c r="H15" s="24">
        <f>G15*F15</f>
        <v>0</v>
      </c>
      <c r="I15" s="24"/>
      <c r="J15" s="24"/>
      <c r="K15" s="24"/>
      <c r="L15" s="24"/>
      <c r="M15" s="24">
        <f t="shared" si="1"/>
        <v>0</v>
      </c>
    </row>
    <row r="16" spans="1:13" s="20" customFormat="1" ht="19.95" customHeight="1">
      <c r="A16" s="14"/>
      <c r="B16" s="180" t="s">
        <v>51</v>
      </c>
      <c r="C16" s="181" t="s">
        <v>53</v>
      </c>
      <c r="D16" s="169"/>
      <c r="E16" s="78"/>
      <c r="F16" s="78"/>
      <c r="G16" s="8"/>
      <c r="H16" s="8"/>
      <c r="I16" s="8"/>
      <c r="J16" s="8"/>
      <c r="K16" s="8"/>
      <c r="L16" s="8"/>
      <c r="M16" s="31"/>
    </row>
    <row r="17" spans="1:13" s="13" customFormat="1" ht="24">
      <c r="A17" s="142">
        <v>2</v>
      </c>
      <c r="B17" s="208" t="s">
        <v>361</v>
      </c>
      <c r="C17" s="208" t="s">
        <v>362</v>
      </c>
      <c r="D17" s="50" t="s">
        <v>13</v>
      </c>
      <c r="E17" s="59"/>
      <c r="F17" s="59">
        <f>6.4+6.91+3.7</f>
        <v>17.010000000000002</v>
      </c>
      <c r="G17" s="21"/>
      <c r="H17" s="21"/>
      <c r="I17" s="21"/>
      <c r="J17" s="21"/>
      <c r="K17" s="21"/>
      <c r="L17" s="21"/>
      <c r="M17" s="21"/>
    </row>
    <row r="18" spans="1:13">
      <c r="A18" s="22"/>
      <c r="B18" s="209" t="s">
        <v>116</v>
      </c>
      <c r="C18" s="209" t="s">
        <v>121</v>
      </c>
      <c r="D18" s="210" t="s">
        <v>34</v>
      </c>
      <c r="E18" s="58">
        <v>65</v>
      </c>
      <c r="F18" s="59">
        <f t="shared" ref="F18:F23" si="2">E18*$F$17</f>
        <v>1105.6500000000001</v>
      </c>
      <c r="G18" s="24"/>
      <c r="H18" s="24"/>
      <c r="I18" s="24"/>
      <c r="J18" s="24">
        <f>I18*F18</f>
        <v>0</v>
      </c>
      <c r="K18" s="24"/>
      <c r="L18" s="24"/>
      <c r="M18" s="24">
        <f t="shared" ref="M18:M23" si="3">L18+J18+H18</f>
        <v>0</v>
      </c>
    </row>
    <row r="19" spans="1:13">
      <c r="A19" s="22"/>
      <c r="B19" s="209" t="s">
        <v>293</v>
      </c>
      <c r="C19" s="209" t="s">
        <v>294</v>
      </c>
      <c r="D19" s="210" t="s">
        <v>13</v>
      </c>
      <c r="E19" s="58">
        <v>0.12</v>
      </c>
      <c r="F19" s="59">
        <f t="shared" si="2"/>
        <v>2.0411999999999999</v>
      </c>
      <c r="G19" s="24"/>
      <c r="H19" s="24">
        <f>G19*F19</f>
        <v>0</v>
      </c>
      <c r="I19" s="24"/>
      <c r="J19" s="24"/>
      <c r="K19" s="24"/>
      <c r="L19" s="24"/>
      <c r="M19" s="24">
        <f t="shared" si="3"/>
        <v>0</v>
      </c>
    </row>
    <row r="20" spans="1:13">
      <c r="A20" s="22"/>
      <c r="B20" s="209" t="s">
        <v>304</v>
      </c>
      <c r="C20" s="209" t="s">
        <v>305</v>
      </c>
      <c r="D20" s="210" t="s">
        <v>34</v>
      </c>
      <c r="E20" s="58">
        <v>65</v>
      </c>
      <c r="F20" s="59">
        <f t="shared" si="2"/>
        <v>1105.6500000000001</v>
      </c>
      <c r="G20" s="24"/>
      <c r="H20" s="24">
        <f>G20*F20</f>
        <v>0</v>
      </c>
      <c r="I20" s="24"/>
      <c r="J20" s="24"/>
      <c r="K20" s="24"/>
      <c r="L20" s="24"/>
      <c r="M20" s="24">
        <f t="shared" si="3"/>
        <v>0</v>
      </c>
    </row>
    <row r="21" spans="1:13" s="68" customFormat="1">
      <c r="A21" s="66"/>
      <c r="B21" s="215" t="s">
        <v>297</v>
      </c>
      <c r="C21" s="215" t="s">
        <v>298</v>
      </c>
      <c r="D21" s="216" t="s">
        <v>19</v>
      </c>
      <c r="E21" s="76">
        <v>1.4E-3</v>
      </c>
      <c r="F21" s="60">
        <f t="shared" si="2"/>
        <v>2.3814000000000002E-2</v>
      </c>
      <c r="G21" s="67"/>
      <c r="H21" s="67">
        <f>G21*F21</f>
        <v>0</v>
      </c>
      <c r="I21" s="67"/>
      <c r="J21" s="67"/>
      <c r="K21" s="67"/>
      <c r="L21" s="67"/>
      <c r="M21" s="67">
        <f t="shared" si="3"/>
        <v>0</v>
      </c>
    </row>
    <row r="22" spans="1:13">
      <c r="A22" s="22"/>
      <c r="B22" s="209" t="s">
        <v>299</v>
      </c>
      <c r="C22" s="209" t="s">
        <v>300</v>
      </c>
      <c r="D22" s="210" t="s">
        <v>19</v>
      </c>
      <c r="E22" s="76">
        <v>3.3999999999999998E-3</v>
      </c>
      <c r="F22" s="59">
        <f t="shared" si="2"/>
        <v>5.7834000000000003E-2</v>
      </c>
      <c r="G22" s="24"/>
      <c r="H22" s="24">
        <f>G22*F22</f>
        <v>0</v>
      </c>
      <c r="I22" s="24"/>
      <c r="J22" s="24"/>
      <c r="K22" s="24"/>
      <c r="L22" s="24"/>
      <c r="M22" s="24">
        <f t="shared" si="3"/>
        <v>0</v>
      </c>
    </row>
    <row r="23" spans="1:13">
      <c r="A23" s="22"/>
      <c r="B23" s="209" t="s">
        <v>301</v>
      </c>
      <c r="C23" s="209" t="s">
        <v>251</v>
      </c>
      <c r="D23" s="210" t="s">
        <v>40</v>
      </c>
      <c r="E23" s="58">
        <v>1</v>
      </c>
      <c r="F23" s="59">
        <f t="shared" si="2"/>
        <v>17.010000000000002</v>
      </c>
      <c r="G23" s="24"/>
      <c r="H23" s="24">
        <f>G23*F23</f>
        <v>0</v>
      </c>
      <c r="I23" s="24"/>
      <c r="J23" s="24"/>
      <c r="K23" s="24"/>
      <c r="L23" s="24"/>
      <c r="M23" s="24">
        <f t="shared" si="3"/>
        <v>0</v>
      </c>
    </row>
    <row r="24" spans="1:13" s="13" customFormat="1" ht="21.6" customHeight="1">
      <c r="A24" s="61"/>
      <c r="B24" s="200" t="s">
        <v>233</v>
      </c>
      <c r="C24" s="200" t="s">
        <v>234</v>
      </c>
      <c r="D24" s="201"/>
      <c r="E24" s="79"/>
      <c r="F24" s="79"/>
      <c r="G24" s="70"/>
      <c r="H24" s="70"/>
      <c r="I24" s="70"/>
      <c r="J24" s="70"/>
      <c r="K24" s="70"/>
      <c r="L24" s="70"/>
      <c r="M24" s="71"/>
    </row>
    <row r="25" spans="1:13" s="20" customFormat="1" ht="19.95" customHeight="1">
      <c r="A25" s="14"/>
      <c r="B25" s="180" t="s">
        <v>52</v>
      </c>
      <c r="C25" s="181" t="s">
        <v>54</v>
      </c>
      <c r="D25" s="169"/>
      <c r="E25" s="78"/>
      <c r="F25" s="78"/>
      <c r="G25" s="8"/>
      <c r="H25" s="8"/>
      <c r="I25" s="8"/>
      <c r="J25" s="8"/>
      <c r="K25" s="8"/>
      <c r="L25" s="8"/>
      <c r="M25" s="31"/>
    </row>
    <row r="26" spans="1:13" s="13" customFormat="1">
      <c r="A26" s="142">
        <v>3</v>
      </c>
      <c r="B26" s="208" t="s">
        <v>318</v>
      </c>
      <c r="C26" s="208" t="s">
        <v>319</v>
      </c>
      <c r="D26" s="50" t="s">
        <v>238</v>
      </c>
      <c r="E26" s="59"/>
      <c r="F26" s="59">
        <v>581.70000000000005</v>
      </c>
      <c r="G26" s="21"/>
      <c r="H26" s="21"/>
      <c r="I26" s="21"/>
      <c r="J26" s="21"/>
      <c r="K26" s="21"/>
      <c r="L26" s="21"/>
      <c r="M26" s="21"/>
    </row>
    <row r="27" spans="1:13">
      <c r="A27" s="22"/>
      <c r="B27" s="209" t="s">
        <v>116</v>
      </c>
      <c r="C27" s="209" t="s">
        <v>237</v>
      </c>
      <c r="D27" s="50" t="s">
        <v>238</v>
      </c>
      <c r="E27" s="58">
        <v>1</v>
      </c>
      <c r="F27" s="59">
        <f>E27*$F$26</f>
        <v>581.70000000000005</v>
      </c>
      <c r="G27" s="24"/>
      <c r="H27" s="24">
        <f>G27*F27</f>
        <v>0</v>
      </c>
      <c r="I27" s="24"/>
      <c r="J27" s="24">
        <f>I27*F27</f>
        <v>0</v>
      </c>
      <c r="K27" s="24"/>
      <c r="L27" s="24"/>
      <c r="M27" s="24">
        <f>L27+J27+H27</f>
        <v>0</v>
      </c>
    </row>
    <row r="28" spans="1:13">
      <c r="A28" s="22"/>
      <c r="B28" s="209" t="s">
        <v>320</v>
      </c>
      <c r="C28" s="209" t="s">
        <v>321</v>
      </c>
      <c r="D28" s="210" t="s">
        <v>292</v>
      </c>
      <c r="E28" s="58">
        <f>50/1000</f>
        <v>0.05</v>
      </c>
      <c r="F28" s="59">
        <f>E28*$F$26</f>
        <v>29.085000000000004</v>
      </c>
      <c r="G28" s="24"/>
      <c r="H28" s="24">
        <f>G28*F28</f>
        <v>0</v>
      </c>
      <c r="I28" s="24"/>
      <c r="J28" s="24">
        <f>I28*F28</f>
        <v>0</v>
      </c>
      <c r="K28" s="24"/>
      <c r="L28" s="24"/>
      <c r="M28" s="24">
        <f>L28+J28+H28</f>
        <v>0</v>
      </c>
    </row>
    <row r="29" spans="1:13">
      <c r="A29" s="22"/>
      <c r="B29" s="209" t="s">
        <v>250</v>
      </c>
      <c r="C29" s="209" t="s">
        <v>251</v>
      </c>
      <c r="D29" s="210" t="s">
        <v>252</v>
      </c>
      <c r="E29" s="58">
        <v>1</v>
      </c>
      <c r="F29" s="59">
        <f>E29*$F$26</f>
        <v>581.70000000000005</v>
      </c>
      <c r="G29" s="24"/>
      <c r="H29" s="24">
        <f>G29*F29</f>
        <v>0</v>
      </c>
      <c r="I29" s="24"/>
      <c r="J29" s="24">
        <f>I29*F29</f>
        <v>0</v>
      </c>
      <c r="K29" s="24"/>
      <c r="L29" s="24"/>
      <c r="M29" s="24">
        <f>L29+J29+H29</f>
        <v>0</v>
      </c>
    </row>
    <row r="30" spans="1:13" s="13" customFormat="1">
      <c r="A30" s="142">
        <v>4</v>
      </c>
      <c r="B30" s="208" t="s">
        <v>322</v>
      </c>
      <c r="C30" s="208" t="s">
        <v>323</v>
      </c>
      <c r="D30" s="50" t="s">
        <v>238</v>
      </c>
      <c r="E30" s="53"/>
      <c r="F30" s="80">
        <f>F26</f>
        <v>581.70000000000005</v>
      </c>
      <c r="G30" s="26"/>
      <c r="H30" s="26"/>
      <c r="I30" s="26"/>
      <c r="J30" s="26"/>
      <c r="K30" s="26"/>
      <c r="L30" s="26"/>
      <c r="M30" s="26"/>
    </row>
    <row r="31" spans="1:13" s="30" customFormat="1">
      <c r="A31" s="27"/>
      <c r="B31" s="209" t="s">
        <v>116</v>
      </c>
      <c r="C31" s="209" t="s">
        <v>237</v>
      </c>
      <c r="D31" s="53" t="s">
        <v>238</v>
      </c>
      <c r="E31" s="52">
        <v>1</v>
      </c>
      <c r="F31" s="53">
        <f>E31*F30</f>
        <v>581.70000000000005</v>
      </c>
      <c r="G31" s="29"/>
      <c r="H31" s="29"/>
      <c r="I31" s="29"/>
      <c r="J31" s="24">
        <f>I31*F31</f>
        <v>0</v>
      </c>
      <c r="K31" s="29"/>
      <c r="L31" s="29"/>
      <c r="M31" s="24">
        <f>L31+J31+H31</f>
        <v>0</v>
      </c>
    </row>
    <row r="32" spans="1:13" s="30" customFormat="1">
      <c r="A32" s="27"/>
      <c r="B32" s="209" t="s">
        <v>324</v>
      </c>
      <c r="C32" s="209" t="s">
        <v>325</v>
      </c>
      <c r="D32" s="53" t="s">
        <v>238</v>
      </c>
      <c r="E32" s="52">
        <v>1.05</v>
      </c>
      <c r="F32" s="53">
        <f>E32*F30</f>
        <v>610.78500000000008</v>
      </c>
      <c r="G32" s="29"/>
      <c r="H32" s="24">
        <f>G32*F32</f>
        <v>0</v>
      </c>
      <c r="I32" s="29"/>
      <c r="J32" s="29"/>
      <c r="K32" s="29"/>
      <c r="L32" s="29"/>
      <c r="M32" s="24">
        <f>L32+J32+H32</f>
        <v>0</v>
      </c>
    </row>
    <row r="33" spans="1:13" s="13" customFormat="1">
      <c r="A33" s="142">
        <v>5</v>
      </c>
      <c r="B33" s="208" t="s">
        <v>326</v>
      </c>
      <c r="C33" s="208" t="s">
        <v>327</v>
      </c>
      <c r="D33" s="50" t="s">
        <v>238</v>
      </c>
      <c r="E33" s="59"/>
      <c r="F33" s="59">
        <v>684</v>
      </c>
      <c r="G33" s="21"/>
      <c r="H33" s="21"/>
      <c r="I33" s="21"/>
      <c r="J33" s="21"/>
      <c r="K33" s="21"/>
      <c r="L33" s="21"/>
      <c r="M33" s="21"/>
    </row>
    <row r="34" spans="1:13">
      <c r="A34" s="22"/>
      <c r="B34" s="209" t="s">
        <v>328</v>
      </c>
      <c r="C34" s="209" t="s">
        <v>121</v>
      </c>
      <c r="D34" s="50" t="s">
        <v>238</v>
      </c>
      <c r="E34" s="58">
        <v>1</v>
      </c>
      <c r="F34" s="59">
        <f t="shared" ref="F34:F39" si="4">E34*$F$33</f>
        <v>684</v>
      </c>
      <c r="G34" s="24"/>
      <c r="H34" s="24"/>
      <c r="I34" s="24"/>
      <c r="J34" s="24">
        <f>I34*F34</f>
        <v>0</v>
      </c>
      <c r="K34" s="24"/>
      <c r="L34" s="24"/>
      <c r="M34" s="24">
        <f t="shared" ref="M34:M39" si="5">L34+J34+H34</f>
        <v>0</v>
      </c>
    </row>
    <row r="35" spans="1:13">
      <c r="A35" s="22"/>
      <c r="B35" s="209" t="s">
        <v>329</v>
      </c>
      <c r="C35" s="209" t="s">
        <v>122</v>
      </c>
      <c r="D35" s="50" t="s">
        <v>238</v>
      </c>
      <c r="E35" s="138">
        <v>1.1399999999999999</v>
      </c>
      <c r="F35" s="59">
        <f t="shared" si="4"/>
        <v>779.75999999999988</v>
      </c>
      <c r="G35" s="24"/>
      <c r="H35" s="24">
        <f>G35*F35</f>
        <v>0</v>
      </c>
      <c r="I35" s="24"/>
      <c r="J35" s="24"/>
      <c r="K35" s="24"/>
      <c r="L35" s="24"/>
      <c r="M35" s="24">
        <f t="shared" si="5"/>
        <v>0</v>
      </c>
    </row>
    <row r="36" spans="1:13">
      <c r="A36" s="22"/>
      <c r="B36" s="209" t="s">
        <v>330</v>
      </c>
      <c r="C36" s="209" t="s">
        <v>123</v>
      </c>
      <c r="D36" s="50" t="s">
        <v>238</v>
      </c>
      <c r="E36" s="138">
        <v>1.1599999999999999</v>
      </c>
      <c r="F36" s="59">
        <f t="shared" si="4"/>
        <v>793.43999999999994</v>
      </c>
      <c r="G36" s="24"/>
      <c r="H36" s="24">
        <f>G36*F36</f>
        <v>0</v>
      </c>
      <c r="I36" s="24"/>
      <c r="J36" s="24"/>
      <c r="K36" s="24"/>
      <c r="L36" s="24"/>
      <c r="M36" s="24">
        <f t="shared" si="5"/>
        <v>0</v>
      </c>
    </row>
    <row r="37" spans="1:13">
      <c r="A37" s="22"/>
      <c r="B37" s="209" t="s">
        <v>331</v>
      </c>
      <c r="C37" s="209" t="s">
        <v>332</v>
      </c>
      <c r="D37" s="210" t="s">
        <v>333</v>
      </c>
      <c r="E37" s="137">
        <v>0.56999999999999995</v>
      </c>
      <c r="F37" s="59">
        <f t="shared" si="4"/>
        <v>389.87999999999994</v>
      </c>
      <c r="G37" s="24"/>
      <c r="H37" s="24">
        <f>G37*F37</f>
        <v>0</v>
      </c>
      <c r="I37" s="24"/>
      <c r="J37" s="24"/>
      <c r="K37" s="24"/>
      <c r="L37" s="24"/>
      <c r="M37" s="24">
        <f t="shared" si="5"/>
        <v>0</v>
      </c>
    </row>
    <row r="38" spans="1:13">
      <c r="A38" s="22"/>
      <c r="B38" s="209" t="s">
        <v>334</v>
      </c>
      <c r="C38" s="209" t="s">
        <v>125</v>
      </c>
      <c r="D38" s="210" t="s">
        <v>333</v>
      </c>
      <c r="E38" s="137">
        <v>0.3</v>
      </c>
      <c r="F38" s="59">
        <f t="shared" si="4"/>
        <v>205.2</v>
      </c>
      <c r="G38" s="24"/>
      <c r="H38" s="24">
        <f>G38*F38</f>
        <v>0</v>
      </c>
      <c r="I38" s="24"/>
      <c r="J38" s="24"/>
      <c r="K38" s="24"/>
      <c r="L38" s="24"/>
      <c r="M38" s="24">
        <f t="shared" si="5"/>
        <v>0</v>
      </c>
    </row>
    <row r="39" spans="1:13">
      <c r="A39" s="22"/>
      <c r="B39" s="209" t="s">
        <v>250</v>
      </c>
      <c r="C39" s="209" t="s">
        <v>251</v>
      </c>
      <c r="D39" s="210" t="s">
        <v>252</v>
      </c>
      <c r="E39" s="58">
        <v>1</v>
      </c>
      <c r="F39" s="59">
        <f t="shared" si="4"/>
        <v>684</v>
      </c>
      <c r="G39" s="24"/>
      <c r="H39" s="24">
        <f>G39*F39</f>
        <v>0</v>
      </c>
      <c r="I39" s="24"/>
      <c r="J39" s="24"/>
      <c r="K39" s="24"/>
      <c r="L39" s="24"/>
      <c r="M39" s="24">
        <f t="shared" si="5"/>
        <v>0</v>
      </c>
    </row>
    <row r="40" spans="1:13" s="13" customFormat="1" ht="25.8" customHeight="1">
      <c r="A40" s="142">
        <v>6</v>
      </c>
      <c r="B40" s="208" t="s">
        <v>335</v>
      </c>
      <c r="C40" s="208" t="s">
        <v>336</v>
      </c>
      <c r="D40" s="50" t="s">
        <v>238</v>
      </c>
      <c r="E40" s="59"/>
      <c r="F40" s="59">
        <v>629</v>
      </c>
      <c r="G40" s="21"/>
      <c r="H40" s="21"/>
      <c r="I40" s="21"/>
      <c r="J40" s="21"/>
      <c r="K40" s="21"/>
      <c r="L40" s="21"/>
      <c r="M40" s="21"/>
    </row>
    <row r="41" spans="1:13">
      <c r="A41" s="22"/>
      <c r="B41" s="209" t="s">
        <v>116</v>
      </c>
      <c r="C41" s="209" t="s">
        <v>237</v>
      </c>
      <c r="D41" s="210" t="s">
        <v>238</v>
      </c>
      <c r="E41" s="58">
        <v>1</v>
      </c>
      <c r="F41" s="59">
        <f>E41*$F$40</f>
        <v>629</v>
      </c>
      <c r="G41" s="24"/>
      <c r="H41" s="24"/>
      <c r="I41" s="24"/>
      <c r="J41" s="24">
        <f>I41*F41</f>
        <v>0</v>
      </c>
      <c r="K41" s="24"/>
      <c r="L41" s="24"/>
      <c r="M41" s="24">
        <f>L41+J41+H41</f>
        <v>0</v>
      </c>
    </row>
    <row r="42" spans="1:13">
      <c r="A42" s="22"/>
      <c r="B42" s="209" t="s">
        <v>337</v>
      </c>
      <c r="C42" s="209" t="s">
        <v>338</v>
      </c>
      <c r="D42" s="217" t="s">
        <v>292</v>
      </c>
      <c r="E42" s="58">
        <v>0.05</v>
      </c>
      <c r="F42" s="59">
        <f>E42*$F$40</f>
        <v>31.450000000000003</v>
      </c>
      <c r="G42" s="24"/>
      <c r="H42" s="24">
        <f>G42*F42</f>
        <v>0</v>
      </c>
      <c r="I42" s="24"/>
      <c r="J42" s="24"/>
      <c r="K42" s="24"/>
      <c r="L42" s="24"/>
      <c r="M42" s="24">
        <f>L42+J42+H42</f>
        <v>0</v>
      </c>
    </row>
    <row r="43" spans="1:13">
      <c r="A43" s="22"/>
      <c r="B43" s="214" t="s">
        <v>397</v>
      </c>
      <c r="C43" s="214" t="s">
        <v>398</v>
      </c>
      <c r="D43" s="210" t="s">
        <v>238</v>
      </c>
      <c r="E43" s="58">
        <v>1.02</v>
      </c>
      <c r="F43" s="59">
        <f>E43*$F$40</f>
        <v>641.58000000000004</v>
      </c>
      <c r="G43" s="24"/>
      <c r="H43" s="24">
        <f>G43*F43</f>
        <v>0</v>
      </c>
      <c r="I43" s="24"/>
      <c r="J43" s="24"/>
      <c r="K43" s="24"/>
      <c r="L43" s="24"/>
      <c r="M43" s="24">
        <f>L43+J43+H43</f>
        <v>0</v>
      </c>
    </row>
    <row r="44" spans="1:13">
      <c r="A44" s="22"/>
      <c r="B44" s="209" t="s">
        <v>250</v>
      </c>
      <c r="C44" s="209" t="s">
        <v>251</v>
      </c>
      <c r="D44" s="210" t="s">
        <v>252</v>
      </c>
      <c r="E44" s="58">
        <v>1</v>
      </c>
      <c r="F44" s="59">
        <f>E44*$F$40</f>
        <v>629</v>
      </c>
      <c r="G44" s="24"/>
      <c r="H44" s="24">
        <f>G44*F44</f>
        <v>0</v>
      </c>
      <c r="I44" s="24"/>
      <c r="J44" s="24"/>
      <c r="K44" s="24"/>
      <c r="L44" s="24"/>
      <c r="M44" s="24">
        <f>L44+J44+H44</f>
        <v>0</v>
      </c>
    </row>
    <row r="45" spans="1:13" s="13" customFormat="1">
      <c r="A45" s="142">
        <v>7</v>
      </c>
      <c r="B45" s="208" t="s">
        <v>341</v>
      </c>
      <c r="C45" s="208" t="s">
        <v>342</v>
      </c>
      <c r="D45" s="50" t="s">
        <v>238</v>
      </c>
      <c r="E45" s="59"/>
      <c r="F45" s="59">
        <f>F26</f>
        <v>581.70000000000005</v>
      </c>
      <c r="G45" s="21"/>
      <c r="H45" s="21"/>
      <c r="I45" s="21"/>
      <c r="J45" s="21"/>
      <c r="K45" s="21"/>
      <c r="L45" s="21"/>
      <c r="M45" s="21"/>
    </row>
    <row r="46" spans="1:13">
      <c r="A46" s="22"/>
      <c r="B46" s="209" t="s">
        <v>343</v>
      </c>
      <c r="C46" s="209" t="s">
        <v>237</v>
      </c>
      <c r="D46" s="50" t="s">
        <v>238</v>
      </c>
      <c r="E46" s="58">
        <v>1</v>
      </c>
      <c r="F46" s="59">
        <f>E46*$F$45</f>
        <v>581.70000000000005</v>
      </c>
      <c r="G46" s="24"/>
      <c r="H46" s="24"/>
      <c r="I46" s="24"/>
      <c r="J46" s="24">
        <f>I46*F46</f>
        <v>0</v>
      </c>
      <c r="K46" s="24"/>
      <c r="L46" s="24"/>
      <c r="M46" s="24">
        <f>L46+J46+H46</f>
        <v>0</v>
      </c>
    </row>
    <row r="47" spans="1:13">
      <c r="A47" s="22"/>
      <c r="B47" s="209" t="s">
        <v>344</v>
      </c>
      <c r="C47" s="209" t="s">
        <v>345</v>
      </c>
      <c r="D47" s="210" t="s">
        <v>292</v>
      </c>
      <c r="E47" s="58">
        <f>30/1000</f>
        <v>0.03</v>
      </c>
      <c r="F47" s="59">
        <f>E47*$F$45</f>
        <v>17.451000000000001</v>
      </c>
      <c r="G47" s="24"/>
      <c r="H47" s="24">
        <f>G47*F47</f>
        <v>0</v>
      </c>
      <c r="I47" s="24"/>
      <c r="J47" s="24">
        <f>I47*F47</f>
        <v>0</v>
      </c>
      <c r="K47" s="24"/>
      <c r="L47" s="24"/>
      <c r="M47" s="24">
        <f>L47+J47+H47</f>
        <v>0</v>
      </c>
    </row>
    <row r="48" spans="1:13">
      <c r="A48" s="22"/>
      <c r="B48" s="209" t="s">
        <v>250</v>
      </c>
      <c r="C48" s="209" t="s">
        <v>251</v>
      </c>
      <c r="D48" s="210" t="s">
        <v>252</v>
      </c>
      <c r="E48" s="58">
        <v>1</v>
      </c>
      <c r="F48" s="59">
        <f>E48*$F$45</f>
        <v>581.70000000000005</v>
      </c>
      <c r="G48" s="24"/>
      <c r="H48" s="24">
        <f>G48*F48</f>
        <v>0</v>
      </c>
      <c r="I48" s="24"/>
      <c r="J48" s="24">
        <f>I48*F48</f>
        <v>0</v>
      </c>
      <c r="K48" s="24"/>
      <c r="L48" s="24"/>
      <c r="M48" s="24">
        <f>L48+J48+H48</f>
        <v>0</v>
      </c>
    </row>
    <row r="49" spans="1:13" s="13" customFormat="1">
      <c r="A49" s="142">
        <v>8</v>
      </c>
      <c r="B49" s="208" t="s">
        <v>346</v>
      </c>
      <c r="C49" s="208" t="s">
        <v>347</v>
      </c>
      <c r="D49" s="50" t="s">
        <v>238</v>
      </c>
      <c r="E49" s="59"/>
      <c r="F49" s="59">
        <f>F45</f>
        <v>581.70000000000005</v>
      </c>
      <c r="G49" s="21"/>
      <c r="H49" s="21"/>
      <c r="I49" s="21"/>
      <c r="J49" s="21"/>
      <c r="K49" s="21"/>
      <c r="L49" s="21"/>
      <c r="M49" s="21"/>
    </row>
    <row r="50" spans="1:13">
      <c r="A50" s="22"/>
      <c r="B50" s="209" t="s">
        <v>116</v>
      </c>
      <c r="C50" s="209" t="s">
        <v>237</v>
      </c>
      <c r="D50" s="50" t="s">
        <v>238</v>
      </c>
      <c r="E50" s="58">
        <v>1</v>
      </c>
      <c r="F50" s="59">
        <f>E50*$F$45</f>
        <v>581.70000000000005</v>
      </c>
      <c r="G50" s="24"/>
      <c r="H50" s="24"/>
      <c r="I50" s="24"/>
      <c r="J50" s="24">
        <f t="shared" ref="J50:J56" si="6">I50*F50</f>
        <v>0</v>
      </c>
      <c r="K50" s="24"/>
      <c r="L50" s="24"/>
      <c r="M50" s="24">
        <f t="shared" ref="M50:M58" si="7">L50+J50+H50</f>
        <v>0</v>
      </c>
    </row>
    <row r="51" spans="1:13">
      <c r="A51" s="22"/>
      <c r="B51" s="209" t="s">
        <v>348</v>
      </c>
      <c r="C51" s="209" t="s">
        <v>349</v>
      </c>
      <c r="D51" s="50" t="s">
        <v>238</v>
      </c>
      <c r="E51" s="58">
        <v>1.05</v>
      </c>
      <c r="F51" s="59">
        <f>E51*$F$45</f>
        <v>610.78500000000008</v>
      </c>
      <c r="G51" s="24"/>
      <c r="H51" s="24">
        <f>G51*F51</f>
        <v>0</v>
      </c>
      <c r="I51" s="24"/>
      <c r="J51" s="24">
        <f t="shared" si="6"/>
        <v>0</v>
      </c>
      <c r="K51" s="24"/>
      <c r="L51" s="24"/>
      <c r="M51" s="24">
        <f t="shared" si="7"/>
        <v>0</v>
      </c>
    </row>
    <row r="52" spans="1:13">
      <c r="A52" s="22"/>
      <c r="B52" s="209" t="s">
        <v>350</v>
      </c>
      <c r="C52" s="209" t="s">
        <v>351</v>
      </c>
      <c r="D52" s="50" t="s">
        <v>238</v>
      </c>
      <c r="E52" s="58">
        <v>1.05</v>
      </c>
      <c r="F52" s="59">
        <f>E52*$F$49</f>
        <v>610.78500000000008</v>
      </c>
      <c r="G52" s="24"/>
      <c r="H52" s="24">
        <f>G52*F52</f>
        <v>0</v>
      </c>
      <c r="I52" s="24"/>
      <c r="J52" s="24">
        <f t="shared" si="6"/>
        <v>0</v>
      </c>
      <c r="K52" s="24"/>
      <c r="L52" s="24"/>
      <c r="M52" s="24">
        <f t="shared" si="7"/>
        <v>0</v>
      </c>
    </row>
    <row r="53" spans="1:13">
      <c r="A53" s="22"/>
      <c r="B53" s="209" t="s">
        <v>352</v>
      </c>
      <c r="C53" s="209" t="s">
        <v>353</v>
      </c>
      <c r="D53" s="50" t="s">
        <v>238</v>
      </c>
      <c r="E53" s="137">
        <v>1.05</v>
      </c>
      <c r="F53" s="59">
        <f>E53*$F$49</f>
        <v>610.78500000000008</v>
      </c>
      <c r="G53" s="24"/>
      <c r="H53" s="24">
        <f>G53*F53</f>
        <v>0</v>
      </c>
      <c r="I53" s="24"/>
      <c r="J53" s="24">
        <f t="shared" si="6"/>
        <v>0</v>
      </c>
      <c r="K53" s="24"/>
      <c r="L53" s="24"/>
      <c r="M53" s="24">
        <f t="shared" si="7"/>
        <v>0</v>
      </c>
    </row>
    <row r="54" spans="1:13">
      <c r="A54" s="22"/>
      <c r="B54" s="209" t="s">
        <v>250</v>
      </c>
      <c r="C54" s="209" t="s">
        <v>251</v>
      </c>
      <c r="D54" s="210" t="s">
        <v>252</v>
      </c>
      <c r="E54" s="58">
        <v>1</v>
      </c>
      <c r="F54" s="59">
        <f>E54*$F$49</f>
        <v>581.70000000000005</v>
      </c>
      <c r="G54" s="24"/>
      <c r="H54" s="24">
        <f>G54*F54</f>
        <v>0</v>
      </c>
      <c r="I54" s="24"/>
      <c r="J54" s="24">
        <f t="shared" si="6"/>
        <v>0</v>
      </c>
      <c r="K54" s="24"/>
      <c r="L54" s="24"/>
      <c r="M54" s="24">
        <f t="shared" si="7"/>
        <v>0</v>
      </c>
    </row>
    <row r="55" spans="1:13" s="13" customFormat="1" ht="24">
      <c r="A55" s="142">
        <v>9</v>
      </c>
      <c r="B55" s="208" t="s">
        <v>354</v>
      </c>
      <c r="C55" s="208" t="s">
        <v>355</v>
      </c>
      <c r="D55" s="50" t="s">
        <v>238</v>
      </c>
      <c r="E55" s="59"/>
      <c r="F55" s="59">
        <v>104</v>
      </c>
      <c r="G55" s="21"/>
      <c r="H55" s="21"/>
      <c r="I55" s="21"/>
      <c r="J55" s="21"/>
      <c r="K55" s="21"/>
      <c r="L55" s="21"/>
      <c r="M55" s="21"/>
    </row>
    <row r="56" spans="1:13" s="72" customFormat="1">
      <c r="A56" s="28"/>
      <c r="B56" s="209" t="s">
        <v>116</v>
      </c>
      <c r="C56" s="209" t="s">
        <v>237</v>
      </c>
      <c r="D56" s="53" t="s">
        <v>238</v>
      </c>
      <c r="E56" s="59">
        <v>1</v>
      </c>
      <c r="F56" s="59">
        <f>E56*F55</f>
        <v>104</v>
      </c>
      <c r="G56" s="21"/>
      <c r="H56" s="21"/>
      <c r="I56" s="21"/>
      <c r="J56" s="24">
        <f t="shared" si="6"/>
        <v>0</v>
      </c>
      <c r="K56" s="21"/>
      <c r="L56" s="21"/>
      <c r="M56" s="24">
        <f t="shared" si="7"/>
        <v>0</v>
      </c>
    </row>
    <row r="57" spans="1:13" s="72" customFormat="1">
      <c r="A57" s="28"/>
      <c r="B57" s="209" t="s">
        <v>356</v>
      </c>
      <c r="C57" s="209" t="s">
        <v>357</v>
      </c>
      <c r="D57" s="53" t="s">
        <v>238</v>
      </c>
      <c r="E57" s="59">
        <v>1.02</v>
      </c>
      <c r="F57" s="59">
        <f>E57*F55</f>
        <v>106.08</v>
      </c>
      <c r="G57" s="21"/>
      <c r="H57" s="24">
        <f>G57*F57</f>
        <v>0</v>
      </c>
      <c r="I57" s="21"/>
      <c r="J57" s="21"/>
      <c r="K57" s="21"/>
      <c r="L57" s="21"/>
      <c r="M57" s="24">
        <f t="shared" si="7"/>
        <v>0</v>
      </c>
    </row>
    <row r="58" spans="1:13" s="72" customFormat="1">
      <c r="A58" s="28"/>
      <c r="B58" s="209" t="s">
        <v>250</v>
      </c>
      <c r="C58" s="209" t="s">
        <v>251</v>
      </c>
      <c r="D58" s="53" t="s">
        <v>252</v>
      </c>
      <c r="E58" s="59">
        <v>1</v>
      </c>
      <c r="F58" s="59">
        <f>E58*F55</f>
        <v>104</v>
      </c>
      <c r="G58" s="21"/>
      <c r="H58" s="24">
        <f>G58*F58</f>
        <v>0</v>
      </c>
      <c r="I58" s="21"/>
      <c r="J58" s="21"/>
      <c r="K58" s="21"/>
      <c r="L58" s="21"/>
      <c r="M58" s="24">
        <f t="shared" si="7"/>
        <v>0</v>
      </c>
    </row>
    <row r="59" spans="1:13" s="20" customFormat="1">
      <c r="A59" s="25"/>
      <c r="B59" s="50" t="s">
        <v>358</v>
      </c>
      <c r="C59" s="50" t="s">
        <v>359</v>
      </c>
      <c r="D59" s="210"/>
      <c r="E59" s="59"/>
      <c r="F59" s="59"/>
      <c r="G59" s="21"/>
      <c r="H59" s="21"/>
      <c r="I59" s="21"/>
      <c r="J59" s="21"/>
      <c r="K59" s="21"/>
      <c r="L59" s="21"/>
      <c r="M59" s="21"/>
    </row>
    <row r="60" spans="1:13" s="13" customFormat="1">
      <c r="A60" s="25">
        <v>10</v>
      </c>
      <c r="B60" s="208" t="s">
        <v>326</v>
      </c>
      <c r="C60" s="208" t="s">
        <v>327</v>
      </c>
      <c r="D60" s="50" t="s">
        <v>238</v>
      </c>
      <c r="E60" s="59"/>
      <c r="F60" s="59">
        <v>200</v>
      </c>
      <c r="G60" s="21"/>
      <c r="H60" s="21"/>
      <c r="I60" s="21"/>
      <c r="J60" s="21"/>
      <c r="K60" s="21"/>
      <c r="L60" s="21"/>
      <c r="M60" s="21"/>
    </row>
    <row r="61" spans="1:13">
      <c r="A61" s="22"/>
      <c r="B61" s="209" t="s">
        <v>328</v>
      </c>
      <c r="C61" s="209" t="s">
        <v>121</v>
      </c>
      <c r="D61" s="50" t="s">
        <v>238</v>
      </c>
      <c r="E61" s="58">
        <v>1</v>
      </c>
      <c r="F61" s="59">
        <f t="shared" ref="F61:F66" si="8">E61*$F$60</f>
        <v>200</v>
      </c>
      <c r="G61" s="24"/>
      <c r="H61" s="24"/>
      <c r="I61" s="24"/>
      <c r="J61" s="24">
        <f>I61*F61</f>
        <v>0</v>
      </c>
      <c r="K61" s="24"/>
      <c r="L61" s="24"/>
      <c r="M61" s="24">
        <f t="shared" ref="M61:M75" si="9">L61+J61+H61</f>
        <v>0</v>
      </c>
    </row>
    <row r="62" spans="1:13">
      <c r="A62" s="22"/>
      <c r="B62" s="209" t="s">
        <v>329</v>
      </c>
      <c r="C62" s="209" t="s">
        <v>122</v>
      </c>
      <c r="D62" s="50" t="s">
        <v>238</v>
      </c>
      <c r="E62" s="138">
        <v>1.1399999999999999</v>
      </c>
      <c r="F62" s="59">
        <f t="shared" si="8"/>
        <v>227.99999999999997</v>
      </c>
      <c r="G62" s="24"/>
      <c r="H62" s="24">
        <f t="shared" ref="H62:H67" si="10">G62*F62</f>
        <v>0</v>
      </c>
      <c r="I62" s="24"/>
      <c r="J62" s="24"/>
      <c r="K62" s="24"/>
      <c r="L62" s="24"/>
      <c r="M62" s="24">
        <f t="shared" si="9"/>
        <v>0</v>
      </c>
    </row>
    <row r="63" spans="1:13">
      <c r="A63" s="22"/>
      <c r="B63" s="209" t="s">
        <v>330</v>
      </c>
      <c r="C63" s="209" t="s">
        <v>123</v>
      </c>
      <c r="D63" s="50" t="s">
        <v>238</v>
      </c>
      <c r="E63" s="138">
        <v>1.1599999999999999</v>
      </c>
      <c r="F63" s="59">
        <f t="shared" si="8"/>
        <v>231.99999999999997</v>
      </c>
      <c r="G63" s="24"/>
      <c r="H63" s="24">
        <f t="shared" si="10"/>
        <v>0</v>
      </c>
      <c r="I63" s="24"/>
      <c r="J63" s="24"/>
      <c r="K63" s="24"/>
      <c r="L63" s="24"/>
      <c r="M63" s="24">
        <f t="shared" si="9"/>
        <v>0</v>
      </c>
    </row>
    <row r="64" spans="1:13">
      <c r="A64" s="22"/>
      <c r="B64" s="209" t="s">
        <v>331</v>
      </c>
      <c r="C64" s="209" t="s">
        <v>332</v>
      </c>
      <c r="D64" s="210" t="s">
        <v>333</v>
      </c>
      <c r="E64" s="137">
        <v>0.56999999999999995</v>
      </c>
      <c r="F64" s="59">
        <f t="shared" si="8"/>
        <v>113.99999999999999</v>
      </c>
      <c r="G64" s="24"/>
      <c r="H64" s="24">
        <f t="shared" si="10"/>
        <v>0</v>
      </c>
      <c r="I64" s="24"/>
      <c r="J64" s="24"/>
      <c r="K64" s="24"/>
      <c r="L64" s="24"/>
      <c r="M64" s="24">
        <f t="shared" si="9"/>
        <v>0</v>
      </c>
    </row>
    <row r="65" spans="1:13">
      <c r="A65" s="22"/>
      <c r="B65" s="209" t="s">
        <v>334</v>
      </c>
      <c r="C65" s="209" t="s">
        <v>125</v>
      </c>
      <c r="D65" s="210" t="s">
        <v>333</v>
      </c>
      <c r="E65" s="137">
        <v>0.3</v>
      </c>
      <c r="F65" s="59">
        <f t="shared" si="8"/>
        <v>60</v>
      </c>
      <c r="G65" s="24"/>
      <c r="H65" s="24">
        <f t="shared" si="10"/>
        <v>0</v>
      </c>
      <c r="I65" s="24"/>
      <c r="J65" s="24"/>
      <c r="K65" s="24"/>
      <c r="L65" s="24"/>
      <c r="M65" s="24">
        <f t="shared" si="9"/>
        <v>0</v>
      </c>
    </row>
    <row r="66" spans="1:13">
      <c r="A66" s="22"/>
      <c r="B66" s="209" t="s">
        <v>250</v>
      </c>
      <c r="C66" s="209" t="s">
        <v>251</v>
      </c>
      <c r="D66" s="210" t="s">
        <v>252</v>
      </c>
      <c r="E66" s="58">
        <v>1</v>
      </c>
      <c r="F66" s="59">
        <f t="shared" si="8"/>
        <v>200</v>
      </c>
      <c r="G66" s="24"/>
      <c r="H66" s="24">
        <f t="shared" si="10"/>
        <v>0</v>
      </c>
      <c r="I66" s="24"/>
      <c r="J66" s="24"/>
      <c r="K66" s="24"/>
      <c r="L66" s="24"/>
      <c r="M66" s="24">
        <f t="shared" si="9"/>
        <v>0</v>
      </c>
    </row>
    <row r="67" spans="1:13" s="13" customFormat="1">
      <c r="A67" s="142">
        <v>11</v>
      </c>
      <c r="B67" s="208" t="s">
        <v>360</v>
      </c>
      <c r="C67" s="208" t="s">
        <v>357</v>
      </c>
      <c r="D67" s="50" t="s">
        <v>265</v>
      </c>
      <c r="E67" s="59"/>
      <c r="F67" s="59">
        <v>12.5</v>
      </c>
      <c r="G67" s="21"/>
      <c r="H67" s="21">
        <f t="shared" si="10"/>
        <v>0</v>
      </c>
      <c r="I67" s="21"/>
      <c r="J67" s="21">
        <f>I67*F67</f>
        <v>0</v>
      </c>
      <c r="K67" s="21"/>
      <c r="L67" s="21"/>
      <c r="M67" s="21">
        <f t="shared" si="9"/>
        <v>0</v>
      </c>
    </row>
    <row r="68" spans="1:13" s="72" customFormat="1">
      <c r="A68" s="28"/>
      <c r="B68" s="209" t="s">
        <v>116</v>
      </c>
      <c r="C68" s="209" t="s">
        <v>237</v>
      </c>
      <c r="D68" s="53" t="s">
        <v>265</v>
      </c>
      <c r="E68" s="59">
        <v>1</v>
      </c>
      <c r="F68" s="59">
        <f>E68*F67</f>
        <v>12.5</v>
      </c>
      <c r="G68" s="21"/>
      <c r="H68" s="21"/>
      <c r="I68" s="21"/>
      <c r="J68" s="24">
        <f>I68*F68</f>
        <v>0</v>
      </c>
      <c r="K68" s="21"/>
      <c r="L68" s="21"/>
      <c r="M68" s="24">
        <f t="shared" si="9"/>
        <v>0</v>
      </c>
    </row>
    <row r="69" spans="1:13" s="72" customFormat="1">
      <c r="A69" s="28"/>
      <c r="B69" s="209" t="s">
        <v>356</v>
      </c>
      <c r="C69" s="209" t="s">
        <v>357</v>
      </c>
      <c r="D69" s="53" t="s">
        <v>238</v>
      </c>
      <c r="E69" s="59">
        <v>0.35</v>
      </c>
      <c r="F69" s="59">
        <f>E69*F67</f>
        <v>4.375</v>
      </c>
      <c r="G69" s="21"/>
      <c r="H69" s="24">
        <f>G69*F69</f>
        <v>0</v>
      </c>
      <c r="I69" s="21"/>
      <c r="J69" s="21"/>
      <c r="K69" s="21"/>
      <c r="L69" s="21"/>
      <c r="M69" s="24">
        <f t="shared" si="9"/>
        <v>0</v>
      </c>
    </row>
    <row r="70" spans="1:13" s="72" customFormat="1">
      <c r="A70" s="28"/>
      <c r="B70" s="209" t="s">
        <v>250</v>
      </c>
      <c r="C70" s="209" t="s">
        <v>251</v>
      </c>
      <c r="D70" s="53" t="s">
        <v>252</v>
      </c>
      <c r="E70" s="59">
        <v>1</v>
      </c>
      <c r="F70" s="59">
        <f>E70*F67</f>
        <v>12.5</v>
      </c>
      <c r="G70" s="21"/>
      <c r="H70" s="24">
        <f>G70*F70</f>
        <v>0</v>
      </c>
      <c r="I70" s="21"/>
      <c r="J70" s="21"/>
      <c r="K70" s="21"/>
      <c r="L70" s="21"/>
      <c r="M70" s="24">
        <f t="shared" si="9"/>
        <v>0</v>
      </c>
    </row>
    <row r="71" spans="1:13" s="13" customFormat="1">
      <c r="A71" s="142">
        <v>12</v>
      </c>
      <c r="B71" s="208" t="s">
        <v>335</v>
      </c>
      <c r="C71" s="208" t="s">
        <v>336</v>
      </c>
      <c r="D71" s="50" t="s">
        <v>238</v>
      </c>
      <c r="E71" s="59"/>
      <c r="F71" s="59">
        <v>170</v>
      </c>
      <c r="G71" s="21"/>
      <c r="H71" s="21">
        <f>G71*F71</f>
        <v>0</v>
      </c>
      <c r="I71" s="21"/>
      <c r="J71" s="21">
        <f>I71*F71</f>
        <v>0</v>
      </c>
      <c r="K71" s="21"/>
      <c r="L71" s="21"/>
      <c r="M71" s="21">
        <f t="shared" si="9"/>
        <v>0</v>
      </c>
    </row>
    <row r="72" spans="1:13">
      <c r="A72" s="22"/>
      <c r="B72" s="209" t="s">
        <v>116</v>
      </c>
      <c r="C72" s="209" t="s">
        <v>237</v>
      </c>
      <c r="D72" s="210" t="s">
        <v>238</v>
      </c>
      <c r="E72" s="58">
        <v>1</v>
      </c>
      <c r="F72" s="59">
        <f>E72*$F$71</f>
        <v>170</v>
      </c>
      <c r="G72" s="24"/>
      <c r="H72" s="24"/>
      <c r="I72" s="24"/>
      <c r="J72" s="24">
        <f>I72*F72</f>
        <v>0</v>
      </c>
      <c r="K72" s="24"/>
      <c r="L72" s="24"/>
      <c r="M72" s="24">
        <f t="shared" si="9"/>
        <v>0</v>
      </c>
    </row>
    <row r="73" spans="1:13">
      <c r="A73" s="22"/>
      <c r="B73" s="209" t="s">
        <v>337</v>
      </c>
      <c r="C73" s="209" t="s">
        <v>338</v>
      </c>
      <c r="D73" s="217" t="s">
        <v>292</v>
      </c>
      <c r="E73" s="58">
        <v>0.05</v>
      </c>
      <c r="F73" s="59">
        <f>E73*$F$40</f>
        <v>31.450000000000003</v>
      </c>
      <c r="G73" s="24"/>
      <c r="H73" s="24">
        <f>G73*F73</f>
        <v>0</v>
      </c>
      <c r="I73" s="24"/>
      <c r="J73" s="24"/>
      <c r="K73" s="24"/>
      <c r="L73" s="24"/>
      <c r="M73" s="24">
        <f t="shared" si="9"/>
        <v>0</v>
      </c>
    </row>
    <row r="74" spans="1:13">
      <c r="A74" s="22"/>
      <c r="B74" s="214" t="s">
        <v>397</v>
      </c>
      <c r="C74" s="214" t="s">
        <v>398</v>
      </c>
      <c r="D74" s="210" t="s">
        <v>238</v>
      </c>
      <c r="E74" s="58">
        <v>1.02</v>
      </c>
      <c r="F74" s="59">
        <f>E74*$F$71</f>
        <v>173.4</v>
      </c>
      <c r="G74" s="24"/>
      <c r="H74" s="24">
        <f>G74*F74</f>
        <v>0</v>
      </c>
      <c r="I74" s="24"/>
      <c r="J74" s="24"/>
      <c r="K74" s="24"/>
      <c r="L74" s="24"/>
      <c r="M74" s="24">
        <f t="shared" si="9"/>
        <v>0</v>
      </c>
    </row>
    <row r="75" spans="1:13">
      <c r="A75" s="22"/>
      <c r="B75" s="209" t="s">
        <v>250</v>
      </c>
      <c r="C75" s="209" t="s">
        <v>251</v>
      </c>
      <c r="D75" s="210" t="s">
        <v>252</v>
      </c>
      <c r="E75" s="58">
        <v>1</v>
      </c>
      <c r="F75" s="59">
        <f>E75*$F$71</f>
        <v>170</v>
      </c>
      <c r="G75" s="24"/>
      <c r="H75" s="24">
        <f>G75*F75</f>
        <v>0</v>
      </c>
      <c r="I75" s="24"/>
      <c r="J75" s="24"/>
      <c r="K75" s="24"/>
      <c r="L75" s="24"/>
      <c r="M75" s="24">
        <f t="shared" si="9"/>
        <v>0</v>
      </c>
    </row>
    <row r="76" spans="1:13" s="20" customFormat="1" ht="19.95" customHeight="1">
      <c r="A76" s="14"/>
      <c r="B76" s="180" t="s">
        <v>51</v>
      </c>
      <c r="C76" s="181" t="s">
        <v>53</v>
      </c>
      <c r="D76" s="169"/>
      <c r="E76" s="78"/>
      <c r="F76" s="78"/>
      <c r="G76" s="8"/>
      <c r="H76" s="8"/>
      <c r="I76" s="8"/>
      <c r="J76" s="8"/>
      <c r="K76" s="8"/>
      <c r="L76" s="8"/>
      <c r="M76" s="31"/>
    </row>
    <row r="77" spans="1:13" s="13" customFormat="1">
      <c r="A77" s="142">
        <v>13</v>
      </c>
      <c r="B77" s="208" t="s">
        <v>318</v>
      </c>
      <c r="C77" s="208" t="s">
        <v>319</v>
      </c>
      <c r="D77" s="50" t="s">
        <v>238</v>
      </c>
      <c r="E77" s="59"/>
      <c r="F77" s="59">
        <v>581.70000000000005</v>
      </c>
      <c r="G77" s="21"/>
      <c r="H77" s="21"/>
      <c r="I77" s="21"/>
      <c r="J77" s="21"/>
      <c r="K77" s="21"/>
      <c r="L77" s="21"/>
      <c r="M77" s="21"/>
    </row>
    <row r="78" spans="1:13">
      <c r="A78" s="22"/>
      <c r="B78" s="209" t="s">
        <v>116</v>
      </c>
      <c r="C78" s="209" t="s">
        <v>237</v>
      </c>
      <c r="D78" s="50" t="s">
        <v>238</v>
      </c>
      <c r="E78" s="58">
        <v>1</v>
      </c>
      <c r="F78" s="59">
        <f>E78*$F$77</f>
        <v>581.70000000000005</v>
      </c>
      <c r="G78" s="24"/>
      <c r="H78" s="24">
        <f>G78*F78</f>
        <v>0</v>
      </c>
      <c r="I78" s="24"/>
      <c r="J78" s="24">
        <f>I78*F78</f>
        <v>0</v>
      </c>
      <c r="K78" s="24"/>
      <c r="L78" s="24"/>
      <c r="M78" s="24">
        <f>L78+J78+H78</f>
        <v>0</v>
      </c>
    </row>
    <row r="79" spans="1:13">
      <c r="A79" s="22"/>
      <c r="B79" s="209" t="s">
        <v>320</v>
      </c>
      <c r="C79" s="209" t="s">
        <v>321</v>
      </c>
      <c r="D79" s="210" t="s">
        <v>292</v>
      </c>
      <c r="E79" s="58">
        <f>50/1000</f>
        <v>0.05</v>
      </c>
      <c r="F79" s="59">
        <f>E79*$F$77</f>
        <v>29.085000000000004</v>
      </c>
      <c r="G79" s="24"/>
      <c r="H79" s="24">
        <f>G79*F79</f>
        <v>0</v>
      </c>
      <c r="I79" s="24"/>
      <c r="J79" s="24">
        <f>I79*F79</f>
        <v>0</v>
      </c>
      <c r="K79" s="24"/>
      <c r="L79" s="24"/>
      <c r="M79" s="24">
        <f>L79+J79+H79</f>
        <v>0</v>
      </c>
    </row>
    <row r="80" spans="1:13">
      <c r="A80" s="22"/>
      <c r="B80" s="209" t="s">
        <v>250</v>
      </c>
      <c r="C80" s="209" t="s">
        <v>251</v>
      </c>
      <c r="D80" s="210" t="s">
        <v>252</v>
      </c>
      <c r="E80" s="58">
        <v>1</v>
      </c>
      <c r="F80" s="59">
        <f>E80*$F$77</f>
        <v>581.70000000000005</v>
      </c>
      <c r="G80" s="24"/>
      <c r="H80" s="24">
        <f>G80*F80</f>
        <v>0</v>
      </c>
      <c r="I80" s="24"/>
      <c r="J80" s="24">
        <f>I80*F80</f>
        <v>0</v>
      </c>
      <c r="K80" s="24"/>
      <c r="L80" s="24"/>
      <c r="M80" s="24">
        <f>L80+J80+H80</f>
        <v>0</v>
      </c>
    </row>
    <row r="81" spans="1:13" s="13" customFormat="1">
      <c r="A81" s="142">
        <v>14</v>
      </c>
      <c r="B81" s="208" t="s">
        <v>322</v>
      </c>
      <c r="C81" s="208" t="s">
        <v>323</v>
      </c>
      <c r="D81" s="50" t="s">
        <v>238</v>
      </c>
      <c r="E81" s="53"/>
      <c r="F81" s="80">
        <f>F77</f>
        <v>581.70000000000005</v>
      </c>
      <c r="G81" s="26"/>
      <c r="H81" s="26"/>
      <c r="I81" s="26"/>
      <c r="J81" s="26"/>
      <c r="K81" s="26"/>
      <c r="L81" s="26"/>
      <c r="M81" s="26"/>
    </row>
    <row r="82" spans="1:13" s="30" customFormat="1">
      <c r="A82" s="27"/>
      <c r="B82" s="209" t="s">
        <v>116</v>
      </c>
      <c r="C82" s="209" t="s">
        <v>237</v>
      </c>
      <c r="D82" s="53" t="s">
        <v>238</v>
      </c>
      <c r="E82" s="52">
        <v>1</v>
      </c>
      <c r="F82" s="53">
        <f>E82*F81</f>
        <v>581.70000000000005</v>
      </c>
      <c r="G82" s="29"/>
      <c r="H82" s="29"/>
      <c r="I82" s="29"/>
      <c r="J82" s="24">
        <f>I82*F82</f>
        <v>0</v>
      </c>
      <c r="K82" s="29"/>
      <c r="L82" s="29"/>
      <c r="M82" s="24">
        <f>L82+J82+H82</f>
        <v>0</v>
      </c>
    </row>
    <row r="83" spans="1:13" s="30" customFormat="1">
      <c r="A83" s="27"/>
      <c r="B83" s="209" t="s">
        <v>324</v>
      </c>
      <c r="C83" s="209" t="s">
        <v>325</v>
      </c>
      <c r="D83" s="53" t="s">
        <v>238</v>
      </c>
      <c r="E83" s="52">
        <v>1.05</v>
      </c>
      <c r="F83" s="53">
        <f>E83*F81</f>
        <v>610.78500000000008</v>
      </c>
      <c r="G83" s="29"/>
      <c r="H83" s="24">
        <f>G83*F83</f>
        <v>0</v>
      </c>
      <c r="I83" s="29"/>
      <c r="J83" s="29"/>
      <c r="K83" s="29"/>
      <c r="L83" s="29"/>
      <c r="M83" s="24">
        <f>L83+J83+H83</f>
        <v>0</v>
      </c>
    </row>
    <row r="84" spans="1:13" s="13" customFormat="1">
      <c r="A84" s="142">
        <v>15</v>
      </c>
      <c r="B84" s="208" t="s">
        <v>326</v>
      </c>
      <c r="C84" s="208" t="s">
        <v>327</v>
      </c>
      <c r="D84" s="50" t="s">
        <v>238</v>
      </c>
      <c r="E84" s="59"/>
      <c r="F84" s="59">
        <v>684</v>
      </c>
      <c r="G84" s="21"/>
      <c r="H84" s="21"/>
      <c r="I84" s="21"/>
      <c r="J84" s="21"/>
      <c r="K84" s="21"/>
      <c r="L84" s="21"/>
      <c r="M84" s="21"/>
    </row>
    <row r="85" spans="1:13">
      <c r="A85" s="22"/>
      <c r="B85" s="209" t="s">
        <v>328</v>
      </c>
      <c r="C85" s="209" t="s">
        <v>121</v>
      </c>
      <c r="D85" s="50" t="s">
        <v>238</v>
      </c>
      <c r="E85" s="58">
        <v>1</v>
      </c>
      <c r="F85" s="59">
        <f t="shared" ref="F85:F90" si="11">E85*$F$84</f>
        <v>684</v>
      </c>
      <c r="G85" s="24"/>
      <c r="H85" s="24"/>
      <c r="I85" s="24"/>
      <c r="J85" s="24">
        <f>I85*F85</f>
        <v>0</v>
      </c>
      <c r="K85" s="24"/>
      <c r="L85" s="24"/>
      <c r="M85" s="24">
        <f t="shared" ref="M85:M90" si="12">L85+J85+H85</f>
        <v>0</v>
      </c>
    </row>
    <row r="86" spans="1:13">
      <c r="A86" s="22"/>
      <c r="B86" s="209" t="s">
        <v>329</v>
      </c>
      <c r="C86" s="209" t="s">
        <v>122</v>
      </c>
      <c r="D86" s="50" t="s">
        <v>238</v>
      </c>
      <c r="E86" s="138">
        <v>1.1399999999999999</v>
      </c>
      <c r="F86" s="59">
        <f t="shared" si="11"/>
        <v>779.75999999999988</v>
      </c>
      <c r="G86" s="24"/>
      <c r="H86" s="24">
        <f>G86*F86</f>
        <v>0</v>
      </c>
      <c r="I86" s="24"/>
      <c r="J86" s="24"/>
      <c r="K86" s="24"/>
      <c r="L86" s="24"/>
      <c r="M86" s="24">
        <f t="shared" si="12"/>
        <v>0</v>
      </c>
    </row>
    <row r="87" spans="1:13">
      <c r="A87" s="22"/>
      <c r="B87" s="209" t="s">
        <v>330</v>
      </c>
      <c r="C87" s="209" t="s">
        <v>123</v>
      </c>
      <c r="D87" s="50" t="s">
        <v>238</v>
      </c>
      <c r="E87" s="138">
        <v>1.1599999999999999</v>
      </c>
      <c r="F87" s="59">
        <f t="shared" si="11"/>
        <v>793.43999999999994</v>
      </c>
      <c r="G87" s="24"/>
      <c r="H87" s="24">
        <f>G87*F87</f>
        <v>0</v>
      </c>
      <c r="I87" s="24"/>
      <c r="J87" s="24"/>
      <c r="K87" s="24"/>
      <c r="L87" s="24"/>
      <c r="M87" s="24">
        <f t="shared" si="12"/>
        <v>0</v>
      </c>
    </row>
    <row r="88" spans="1:13">
      <c r="A88" s="22"/>
      <c r="B88" s="209" t="s">
        <v>331</v>
      </c>
      <c r="C88" s="209" t="s">
        <v>332</v>
      </c>
      <c r="D88" s="210" t="s">
        <v>333</v>
      </c>
      <c r="E88" s="137">
        <v>0.56999999999999995</v>
      </c>
      <c r="F88" s="59">
        <f t="shared" si="11"/>
        <v>389.87999999999994</v>
      </c>
      <c r="G88" s="24"/>
      <c r="H88" s="24">
        <f>G88*F88</f>
        <v>0</v>
      </c>
      <c r="I88" s="24"/>
      <c r="J88" s="24"/>
      <c r="K88" s="24"/>
      <c r="L88" s="24"/>
      <c r="M88" s="24">
        <f t="shared" si="12"/>
        <v>0</v>
      </c>
    </row>
    <row r="89" spans="1:13">
      <c r="A89" s="22"/>
      <c r="B89" s="209" t="s">
        <v>334</v>
      </c>
      <c r="C89" s="209" t="s">
        <v>125</v>
      </c>
      <c r="D89" s="210" t="s">
        <v>333</v>
      </c>
      <c r="E89" s="137">
        <v>0.3</v>
      </c>
      <c r="F89" s="59">
        <f t="shared" si="11"/>
        <v>205.2</v>
      </c>
      <c r="G89" s="24"/>
      <c r="H89" s="24">
        <f>G89*F89</f>
        <v>0</v>
      </c>
      <c r="I89" s="24"/>
      <c r="J89" s="24"/>
      <c r="K89" s="24"/>
      <c r="L89" s="24"/>
      <c r="M89" s="24">
        <f t="shared" si="12"/>
        <v>0</v>
      </c>
    </row>
    <row r="90" spans="1:13">
      <c r="A90" s="22"/>
      <c r="B90" s="209" t="s">
        <v>250</v>
      </c>
      <c r="C90" s="209" t="s">
        <v>251</v>
      </c>
      <c r="D90" s="210" t="s">
        <v>252</v>
      </c>
      <c r="E90" s="58">
        <v>1</v>
      </c>
      <c r="F90" s="59">
        <f t="shared" si="11"/>
        <v>684</v>
      </c>
      <c r="G90" s="24"/>
      <c r="H90" s="24">
        <f>G90*F90</f>
        <v>0</v>
      </c>
      <c r="I90" s="24"/>
      <c r="J90" s="24"/>
      <c r="K90" s="24"/>
      <c r="L90" s="24"/>
      <c r="M90" s="24">
        <f t="shared" si="12"/>
        <v>0</v>
      </c>
    </row>
    <row r="91" spans="1:13" s="13" customFormat="1" ht="25.8" customHeight="1">
      <c r="A91" s="142">
        <v>16</v>
      </c>
      <c r="B91" s="208" t="s">
        <v>335</v>
      </c>
      <c r="C91" s="208" t="s">
        <v>336</v>
      </c>
      <c r="D91" s="50" t="s">
        <v>238</v>
      </c>
      <c r="E91" s="59"/>
      <c r="F91" s="59">
        <v>629</v>
      </c>
      <c r="G91" s="21"/>
      <c r="H91" s="21"/>
      <c r="I91" s="21"/>
      <c r="J91" s="21"/>
      <c r="K91" s="21"/>
      <c r="L91" s="21"/>
      <c r="M91" s="21"/>
    </row>
    <row r="92" spans="1:13">
      <c r="A92" s="22"/>
      <c r="B92" s="209" t="s">
        <v>116</v>
      </c>
      <c r="C92" s="209" t="s">
        <v>237</v>
      </c>
      <c r="D92" s="210" t="s">
        <v>238</v>
      </c>
      <c r="E92" s="58">
        <v>1</v>
      </c>
      <c r="F92" s="59">
        <f>E92*$F$91</f>
        <v>629</v>
      </c>
      <c r="G92" s="24"/>
      <c r="H92" s="24"/>
      <c r="I92" s="24"/>
      <c r="J92" s="24">
        <f>I92*F92</f>
        <v>0</v>
      </c>
      <c r="K92" s="24"/>
      <c r="L92" s="24"/>
      <c r="M92" s="24">
        <f>L92+J92+H92</f>
        <v>0</v>
      </c>
    </row>
    <row r="93" spans="1:13">
      <c r="A93" s="22"/>
      <c r="B93" s="209" t="s">
        <v>337</v>
      </c>
      <c r="C93" s="209" t="s">
        <v>338</v>
      </c>
      <c r="D93" s="217" t="s">
        <v>292</v>
      </c>
      <c r="E93" s="58">
        <v>0.05</v>
      </c>
      <c r="F93" s="59">
        <f>E93*$F$91</f>
        <v>31.450000000000003</v>
      </c>
      <c r="G93" s="24"/>
      <c r="H93" s="24">
        <f>G93*F93</f>
        <v>0</v>
      </c>
      <c r="I93" s="24"/>
      <c r="J93" s="24"/>
      <c r="K93" s="24"/>
      <c r="L93" s="24"/>
      <c r="M93" s="24">
        <f>L93+J93+H93</f>
        <v>0</v>
      </c>
    </row>
    <row r="94" spans="1:13">
      <c r="A94" s="22"/>
      <c r="B94" s="214" t="s">
        <v>397</v>
      </c>
      <c r="C94" s="214" t="s">
        <v>398</v>
      </c>
      <c r="D94" s="210" t="s">
        <v>238</v>
      </c>
      <c r="E94" s="58">
        <v>1.02</v>
      </c>
      <c r="F94" s="59">
        <f>E94*$F$91</f>
        <v>641.58000000000004</v>
      </c>
      <c r="G94" s="24"/>
      <c r="H94" s="24">
        <f>G94*F94</f>
        <v>0</v>
      </c>
      <c r="I94" s="24"/>
      <c r="J94" s="24"/>
      <c r="K94" s="24"/>
      <c r="L94" s="24"/>
      <c r="M94" s="24">
        <f>L94+J94+H94</f>
        <v>0</v>
      </c>
    </row>
    <row r="95" spans="1:13">
      <c r="A95" s="22"/>
      <c r="B95" s="209" t="s">
        <v>250</v>
      </c>
      <c r="C95" s="209" t="s">
        <v>251</v>
      </c>
      <c r="D95" s="210" t="s">
        <v>252</v>
      </c>
      <c r="E95" s="58">
        <v>1</v>
      </c>
      <c r="F95" s="59">
        <f>E95*$F$91</f>
        <v>629</v>
      </c>
      <c r="G95" s="24"/>
      <c r="H95" s="24">
        <f>G95*F95</f>
        <v>0</v>
      </c>
      <c r="I95" s="24"/>
      <c r="J95" s="24"/>
      <c r="K95" s="24"/>
      <c r="L95" s="24"/>
      <c r="M95" s="24">
        <f>L95+J95+H95</f>
        <v>0</v>
      </c>
    </row>
    <row r="96" spans="1:13" s="13" customFormat="1">
      <c r="A96" s="142">
        <v>17</v>
      </c>
      <c r="B96" s="208" t="s">
        <v>341</v>
      </c>
      <c r="C96" s="208" t="s">
        <v>342</v>
      </c>
      <c r="D96" s="50" t="s">
        <v>238</v>
      </c>
      <c r="E96" s="59"/>
      <c r="F96" s="59">
        <f>F77</f>
        <v>581.70000000000005</v>
      </c>
      <c r="G96" s="21"/>
      <c r="H96" s="21"/>
      <c r="I96" s="21"/>
      <c r="J96" s="21"/>
      <c r="K96" s="21"/>
      <c r="L96" s="21"/>
      <c r="M96" s="21"/>
    </row>
    <row r="97" spans="1:13">
      <c r="A97" s="22"/>
      <c r="B97" s="209" t="s">
        <v>343</v>
      </c>
      <c r="C97" s="209" t="s">
        <v>237</v>
      </c>
      <c r="D97" s="50" t="s">
        <v>238</v>
      </c>
      <c r="E97" s="58">
        <v>1</v>
      </c>
      <c r="F97" s="59">
        <f>E97*$F$96</f>
        <v>581.70000000000005</v>
      </c>
      <c r="G97" s="24"/>
      <c r="H97" s="24"/>
      <c r="I97" s="24"/>
      <c r="J97" s="24">
        <f>I97*F97</f>
        <v>0</v>
      </c>
      <c r="K97" s="24"/>
      <c r="L97" s="24"/>
      <c r="M97" s="24">
        <f>L97+J97+H97</f>
        <v>0</v>
      </c>
    </row>
    <row r="98" spans="1:13">
      <c r="A98" s="22"/>
      <c r="B98" s="209" t="s">
        <v>344</v>
      </c>
      <c r="C98" s="209" t="s">
        <v>345</v>
      </c>
      <c r="D98" s="210" t="s">
        <v>292</v>
      </c>
      <c r="E98" s="58">
        <f>30/1000</f>
        <v>0.03</v>
      </c>
      <c r="F98" s="59">
        <f>E98*$F$96</f>
        <v>17.451000000000001</v>
      </c>
      <c r="G98" s="24"/>
      <c r="H98" s="24">
        <f>G98*F98</f>
        <v>0</v>
      </c>
      <c r="I98" s="24"/>
      <c r="J98" s="24">
        <f>I98*F98</f>
        <v>0</v>
      </c>
      <c r="K98" s="24"/>
      <c r="L98" s="24"/>
      <c r="M98" s="24">
        <f>L98+J98+H98</f>
        <v>0</v>
      </c>
    </row>
    <row r="99" spans="1:13">
      <c r="A99" s="22"/>
      <c r="B99" s="209" t="s">
        <v>250</v>
      </c>
      <c r="C99" s="209" t="s">
        <v>251</v>
      </c>
      <c r="D99" s="210" t="s">
        <v>252</v>
      </c>
      <c r="E99" s="58">
        <v>1</v>
      </c>
      <c r="F99" s="59">
        <f>E99*$F$96</f>
        <v>581.70000000000005</v>
      </c>
      <c r="G99" s="24"/>
      <c r="H99" s="24">
        <f>G99*F99</f>
        <v>0</v>
      </c>
      <c r="I99" s="24"/>
      <c r="J99" s="24">
        <f>I99*F99</f>
        <v>0</v>
      </c>
      <c r="K99" s="24"/>
      <c r="L99" s="24"/>
      <c r="M99" s="24">
        <f>L99+J99+H99</f>
        <v>0</v>
      </c>
    </row>
    <row r="100" spans="1:13" s="13" customFormat="1">
      <c r="A100" s="142">
        <v>18</v>
      </c>
      <c r="B100" s="208" t="s">
        <v>346</v>
      </c>
      <c r="C100" s="208" t="s">
        <v>347</v>
      </c>
      <c r="D100" s="50" t="s">
        <v>238</v>
      </c>
      <c r="E100" s="59"/>
      <c r="F100" s="59">
        <f>F96</f>
        <v>581.70000000000005</v>
      </c>
      <c r="G100" s="21"/>
      <c r="H100" s="21"/>
      <c r="I100" s="21"/>
      <c r="J100" s="21"/>
      <c r="K100" s="21"/>
      <c r="L100" s="21"/>
      <c r="M100" s="21"/>
    </row>
    <row r="101" spans="1:13">
      <c r="A101" s="22"/>
      <c r="B101" s="209" t="s">
        <v>116</v>
      </c>
      <c r="C101" s="209" t="s">
        <v>237</v>
      </c>
      <c r="D101" s="50" t="s">
        <v>238</v>
      </c>
      <c r="E101" s="58">
        <v>1</v>
      </c>
      <c r="F101" s="59">
        <f>E101*$F$100</f>
        <v>581.70000000000005</v>
      </c>
      <c r="G101" s="24"/>
      <c r="H101" s="24"/>
      <c r="I101" s="24"/>
      <c r="J101" s="24">
        <f>I101*F101</f>
        <v>0</v>
      </c>
      <c r="K101" s="24"/>
      <c r="L101" s="24"/>
      <c r="M101" s="24">
        <f>L101+J101+H101</f>
        <v>0</v>
      </c>
    </row>
    <row r="102" spans="1:13">
      <c r="A102" s="22"/>
      <c r="B102" s="209" t="s">
        <v>348</v>
      </c>
      <c r="C102" s="209" t="s">
        <v>349</v>
      </c>
      <c r="D102" s="50" t="s">
        <v>238</v>
      </c>
      <c r="E102" s="58">
        <v>1.05</v>
      </c>
      <c r="F102" s="59">
        <f>E102*$F$100</f>
        <v>610.78500000000008</v>
      </c>
      <c r="G102" s="24"/>
      <c r="H102" s="24">
        <f>G102*F102</f>
        <v>0</v>
      </c>
      <c r="I102" s="24"/>
      <c r="J102" s="24">
        <f>I102*F102</f>
        <v>0</v>
      </c>
      <c r="K102" s="24"/>
      <c r="L102" s="24"/>
      <c r="M102" s="24">
        <f>L102+J102+H102</f>
        <v>0</v>
      </c>
    </row>
    <row r="103" spans="1:13">
      <c r="A103" s="22"/>
      <c r="B103" s="209" t="s">
        <v>350</v>
      </c>
      <c r="C103" s="209" t="s">
        <v>351</v>
      </c>
      <c r="D103" s="50" t="s">
        <v>238</v>
      </c>
      <c r="E103" s="58">
        <v>1.05</v>
      </c>
      <c r="F103" s="59">
        <f>E103*$F$100</f>
        <v>610.78500000000008</v>
      </c>
      <c r="G103" s="24"/>
      <c r="H103" s="24">
        <f>G103*F103</f>
        <v>0</v>
      </c>
      <c r="I103" s="24"/>
      <c r="J103" s="24">
        <f>I103*F103</f>
        <v>0</v>
      </c>
      <c r="K103" s="24"/>
      <c r="L103" s="24"/>
      <c r="M103" s="24">
        <f>L103+J103+H103</f>
        <v>0</v>
      </c>
    </row>
    <row r="104" spans="1:13">
      <c r="A104" s="22"/>
      <c r="B104" s="209" t="s">
        <v>352</v>
      </c>
      <c r="C104" s="209" t="s">
        <v>353</v>
      </c>
      <c r="D104" s="50" t="s">
        <v>238</v>
      </c>
      <c r="E104" s="137">
        <v>1.05</v>
      </c>
      <c r="F104" s="59">
        <f>E104*$F$100</f>
        <v>610.78500000000008</v>
      </c>
      <c r="G104" s="24"/>
      <c r="H104" s="24">
        <f>G104*F104</f>
        <v>0</v>
      </c>
      <c r="I104" s="24"/>
      <c r="J104" s="24">
        <f>I104*F104</f>
        <v>0</v>
      </c>
      <c r="K104" s="24"/>
      <c r="L104" s="24"/>
      <c r="M104" s="24">
        <f>L104+J104+H104</f>
        <v>0</v>
      </c>
    </row>
    <row r="105" spans="1:13">
      <c r="A105" s="22"/>
      <c r="B105" s="209" t="s">
        <v>250</v>
      </c>
      <c r="C105" s="209" t="s">
        <v>251</v>
      </c>
      <c r="D105" s="210" t="s">
        <v>252</v>
      </c>
      <c r="E105" s="58">
        <v>1</v>
      </c>
      <c r="F105" s="59">
        <f>E105*$F$100</f>
        <v>581.70000000000005</v>
      </c>
      <c r="G105" s="24"/>
      <c r="H105" s="24">
        <f>G105*F105</f>
        <v>0</v>
      </c>
      <c r="I105" s="24"/>
      <c r="J105" s="24">
        <f>I105*F105</f>
        <v>0</v>
      </c>
      <c r="K105" s="24"/>
      <c r="L105" s="24"/>
      <c r="M105" s="24">
        <f>L105+J105+H105</f>
        <v>0</v>
      </c>
    </row>
    <row r="106" spans="1:13" s="13" customFormat="1" ht="24">
      <c r="A106" s="142">
        <v>19</v>
      </c>
      <c r="B106" s="208" t="s">
        <v>354</v>
      </c>
      <c r="C106" s="208" t="s">
        <v>355</v>
      </c>
      <c r="D106" s="50" t="s">
        <v>238</v>
      </c>
      <c r="E106" s="59"/>
      <c r="F106" s="59">
        <v>104</v>
      </c>
      <c r="G106" s="21"/>
      <c r="H106" s="21"/>
      <c r="I106" s="21"/>
      <c r="J106" s="21"/>
      <c r="K106" s="21"/>
      <c r="L106" s="21"/>
      <c r="M106" s="21"/>
    </row>
    <row r="107" spans="1:13" s="13" customFormat="1">
      <c r="A107" s="142"/>
      <c r="B107" s="209" t="s">
        <v>116</v>
      </c>
      <c r="C107" s="209" t="s">
        <v>237</v>
      </c>
      <c r="D107" s="50" t="s">
        <v>238</v>
      </c>
      <c r="E107" s="59">
        <v>1</v>
      </c>
      <c r="F107" s="59">
        <f>E107*F106</f>
        <v>104</v>
      </c>
      <c r="G107" s="21"/>
      <c r="H107" s="21"/>
      <c r="I107" s="21"/>
      <c r="J107" s="24">
        <f>I107*F107</f>
        <v>0</v>
      </c>
      <c r="K107" s="21"/>
      <c r="L107" s="21"/>
      <c r="M107" s="24">
        <f>L107+J107+H107</f>
        <v>0</v>
      </c>
    </row>
    <row r="108" spans="1:13" s="13" customFormat="1">
      <c r="A108" s="142"/>
      <c r="B108" s="209" t="s">
        <v>356</v>
      </c>
      <c r="C108" s="209" t="s">
        <v>357</v>
      </c>
      <c r="D108" s="50" t="s">
        <v>238</v>
      </c>
      <c r="E108" s="59">
        <v>1.02</v>
      </c>
      <c r="F108" s="59">
        <f>E108*F106</f>
        <v>106.08</v>
      </c>
      <c r="G108" s="21"/>
      <c r="H108" s="24">
        <f>G108*F108</f>
        <v>0</v>
      </c>
      <c r="I108" s="21"/>
      <c r="J108" s="21"/>
      <c r="K108" s="21"/>
      <c r="L108" s="21"/>
      <c r="M108" s="24">
        <f>L108+J108+H108</f>
        <v>0</v>
      </c>
    </row>
    <row r="109" spans="1:13" s="13" customFormat="1">
      <c r="A109" s="142"/>
      <c r="B109" s="209" t="s">
        <v>250</v>
      </c>
      <c r="C109" s="209" t="s">
        <v>251</v>
      </c>
      <c r="D109" s="50" t="s">
        <v>252</v>
      </c>
      <c r="E109" s="59">
        <v>1</v>
      </c>
      <c r="F109" s="59">
        <f>E109*F106</f>
        <v>104</v>
      </c>
      <c r="G109" s="21"/>
      <c r="H109" s="24">
        <f>G109*F109</f>
        <v>0</v>
      </c>
      <c r="I109" s="21"/>
      <c r="J109" s="21"/>
      <c r="K109" s="21"/>
      <c r="L109" s="21"/>
      <c r="M109" s="24">
        <f>L109+J109+H109</f>
        <v>0</v>
      </c>
    </row>
    <row r="110" spans="1:13" s="20" customFormat="1">
      <c r="A110" s="25"/>
      <c r="B110" s="50" t="s">
        <v>358</v>
      </c>
      <c r="C110" s="50" t="s">
        <v>359</v>
      </c>
      <c r="D110" s="210"/>
      <c r="E110" s="59"/>
      <c r="F110" s="59"/>
      <c r="G110" s="21"/>
      <c r="H110" s="21"/>
      <c r="I110" s="21"/>
      <c r="J110" s="21"/>
      <c r="K110" s="21"/>
      <c r="L110" s="21"/>
      <c r="M110" s="21"/>
    </row>
    <row r="111" spans="1:13" s="13" customFormat="1">
      <c r="A111" s="142">
        <v>20</v>
      </c>
      <c r="B111" s="208" t="s">
        <v>326</v>
      </c>
      <c r="C111" s="208" t="s">
        <v>327</v>
      </c>
      <c r="D111" s="50" t="s">
        <v>238</v>
      </c>
      <c r="E111" s="59"/>
      <c r="F111" s="59">
        <v>200</v>
      </c>
      <c r="G111" s="21"/>
      <c r="H111" s="21"/>
      <c r="I111" s="21"/>
      <c r="J111" s="21"/>
      <c r="K111" s="21"/>
      <c r="L111" s="21"/>
      <c r="M111" s="21"/>
    </row>
    <row r="112" spans="1:13">
      <c r="A112" s="22"/>
      <c r="B112" s="209" t="s">
        <v>328</v>
      </c>
      <c r="C112" s="209" t="s">
        <v>121</v>
      </c>
      <c r="D112" s="50" t="s">
        <v>238</v>
      </c>
      <c r="E112" s="58">
        <v>1</v>
      </c>
      <c r="F112" s="59">
        <f t="shared" ref="F112:F117" si="13">E112*$F$111</f>
        <v>200</v>
      </c>
      <c r="G112" s="24"/>
      <c r="H112" s="24"/>
      <c r="I112" s="24"/>
      <c r="J112" s="24">
        <f>I112*F112</f>
        <v>0</v>
      </c>
      <c r="K112" s="24"/>
      <c r="L112" s="24"/>
      <c r="M112" s="24">
        <f>L112+J112+H112</f>
        <v>0</v>
      </c>
    </row>
    <row r="113" spans="1:13">
      <c r="A113" s="22"/>
      <c r="B113" s="209" t="s">
        <v>329</v>
      </c>
      <c r="C113" s="209" t="s">
        <v>122</v>
      </c>
      <c r="D113" s="50" t="s">
        <v>238</v>
      </c>
      <c r="E113" s="138">
        <v>1.1399999999999999</v>
      </c>
      <c r="F113" s="59">
        <f t="shared" si="13"/>
        <v>227.99999999999997</v>
      </c>
      <c r="G113" s="24"/>
      <c r="H113" s="24">
        <f>G113*F113</f>
        <v>0</v>
      </c>
      <c r="I113" s="24"/>
      <c r="J113" s="24"/>
      <c r="K113" s="24"/>
      <c r="L113" s="24"/>
      <c r="M113" s="24">
        <f t="shared" ref="M113:M126" si="14">L113+J113+H113</f>
        <v>0</v>
      </c>
    </row>
    <row r="114" spans="1:13">
      <c r="A114" s="22"/>
      <c r="B114" s="209" t="s">
        <v>330</v>
      </c>
      <c r="C114" s="209" t="s">
        <v>123</v>
      </c>
      <c r="D114" s="50" t="s">
        <v>238</v>
      </c>
      <c r="E114" s="138">
        <v>1.1599999999999999</v>
      </c>
      <c r="F114" s="59">
        <f t="shared" si="13"/>
        <v>231.99999999999997</v>
      </c>
      <c r="G114" s="24"/>
      <c r="H114" s="24">
        <f>G114*F114</f>
        <v>0</v>
      </c>
      <c r="I114" s="24"/>
      <c r="J114" s="24"/>
      <c r="K114" s="24"/>
      <c r="L114" s="24"/>
      <c r="M114" s="24">
        <f t="shared" si="14"/>
        <v>0</v>
      </c>
    </row>
    <row r="115" spans="1:13">
      <c r="A115" s="22"/>
      <c r="B115" s="209" t="s">
        <v>331</v>
      </c>
      <c r="C115" s="209" t="s">
        <v>332</v>
      </c>
      <c r="D115" s="210" t="s">
        <v>333</v>
      </c>
      <c r="E115" s="137">
        <v>0.56999999999999995</v>
      </c>
      <c r="F115" s="59">
        <f t="shared" si="13"/>
        <v>113.99999999999999</v>
      </c>
      <c r="G115" s="24"/>
      <c r="H115" s="24">
        <f>G115*F115</f>
        <v>0</v>
      </c>
      <c r="I115" s="24"/>
      <c r="J115" s="24"/>
      <c r="K115" s="24"/>
      <c r="L115" s="24"/>
      <c r="M115" s="24">
        <f t="shared" si="14"/>
        <v>0</v>
      </c>
    </row>
    <row r="116" spans="1:13">
      <c r="A116" s="22"/>
      <c r="B116" s="209" t="s">
        <v>334</v>
      </c>
      <c r="C116" s="209" t="s">
        <v>125</v>
      </c>
      <c r="D116" s="210" t="s">
        <v>333</v>
      </c>
      <c r="E116" s="137">
        <v>0.3</v>
      </c>
      <c r="F116" s="59">
        <f t="shared" si="13"/>
        <v>60</v>
      </c>
      <c r="G116" s="24"/>
      <c r="H116" s="24">
        <f>G116*F116</f>
        <v>0</v>
      </c>
      <c r="I116" s="24"/>
      <c r="J116" s="24"/>
      <c r="K116" s="24"/>
      <c r="L116" s="24"/>
      <c r="M116" s="24">
        <f t="shared" si="14"/>
        <v>0</v>
      </c>
    </row>
    <row r="117" spans="1:13">
      <c r="A117" s="22"/>
      <c r="B117" s="209" t="s">
        <v>250</v>
      </c>
      <c r="C117" s="209" t="s">
        <v>251</v>
      </c>
      <c r="D117" s="210" t="s">
        <v>252</v>
      </c>
      <c r="E117" s="58">
        <v>1</v>
      </c>
      <c r="F117" s="59">
        <f t="shared" si="13"/>
        <v>200</v>
      </c>
      <c r="G117" s="24"/>
      <c r="H117" s="24">
        <f>G117*F117</f>
        <v>0</v>
      </c>
      <c r="I117" s="24"/>
      <c r="J117" s="24"/>
      <c r="K117" s="24"/>
      <c r="L117" s="24"/>
      <c r="M117" s="24">
        <f t="shared" si="14"/>
        <v>0</v>
      </c>
    </row>
    <row r="118" spans="1:13" s="13" customFormat="1" ht="24">
      <c r="A118" s="142">
        <v>21</v>
      </c>
      <c r="B118" s="208" t="s">
        <v>354</v>
      </c>
      <c r="C118" s="208" t="s">
        <v>355</v>
      </c>
      <c r="D118" s="50" t="s">
        <v>265</v>
      </c>
      <c r="E118" s="59"/>
      <c r="F118" s="59">
        <v>12.5</v>
      </c>
      <c r="G118" s="21"/>
      <c r="H118" s="21"/>
      <c r="I118" s="21"/>
      <c r="J118" s="21"/>
      <c r="K118" s="21"/>
      <c r="L118" s="21"/>
      <c r="M118" s="21"/>
    </row>
    <row r="119" spans="1:13" s="13" customFormat="1">
      <c r="A119" s="142"/>
      <c r="B119" s="209" t="s">
        <v>116</v>
      </c>
      <c r="C119" s="209" t="s">
        <v>237</v>
      </c>
      <c r="D119" s="53" t="s">
        <v>265</v>
      </c>
      <c r="E119" s="59">
        <v>1</v>
      </c>
      <c r="F119" s="59">
        <f>E119*F118</f>
        <v>12.5</v>
      </c>
      <c r="G119" s="21"/>
      <c r="H119" s="21"/>
      <c r="I119" s="21"/>
      <c r="J119" s="24">
        <f>I119*F119</f>
        <v>0</v>
      </c>
      <c r="K119" s="21"/>
      <c r="L119" s="21"/>
      <c r="M119" s="24">
        <f t="shared" si="14"/>
        <v>0</v>
      </c>
    </row>
    <row r="120" spans="1:13" s="13" customFormat="1">
      <c r="A120" s="142"/>
      <c r="B120" s="209" t="s">
        <v>356</v>
      </c>
      <c r="C120" s="209" t="s">
        <v>357</v>
      </c>
      <c r="D120" s="53" t="s">
        <v>238</v>
      </c>
      <c r="E120" s="59">
        <v>0.35</v>
      </c>
      <c r="F120" s="59">
        <f>E120*F118</f>
        <v>4.375</v>
      </c>
      <c r="G120" s="21"/>
      <c r="H120" s="24">
        <f>G120*F120</f>
        <v>0</v>
      </c>
      <c r="I120" s="21"/>
      <c r="J120" s="21"/>
      <c r="K120" s="21"/>
      <c r="L120" s="21"/>
      <c r="M120" s="24">
        <f t="shared" si="14"/>
        <v>0</v>
      </c>
    </row>
    <row r="121" spans="1:13" s="13" customFormat="1">
      <c r="A121" s="142"/>
      <c r="B121" s="209" t="s">
        <v>250</v>
      </c>
      <c r="C121" s="209" t="s">
        <v>251</v>
      </c>
      <c r="D121" s="53" t="s">
        <v>252</v>
      </c>
      <c r="E121" s="59">
        <v>1</v>
      </c>
      <c r="F121" s="59">
        <f>E121*F118</f>
        <v>12.5</v>
      </c>
      <c r="G121" s="21"/>
      <c r="H121" s="24">
        <f>G121*F121</f>
        <v>0</v>
      </c>
      <c r="I121" s="21"/>
      <c r="J121" s="21"/>
      <c r="K121" s="21"/>
      <c r="L121" s="21"/>
      <c r="M121" s="24">
        <f t="shared" si="14"/>
        <v>0</v>
      </c>
    </row>
    <row r="122" spans="1:13" s="13" customFormat="1">
      <c r="A122" s="142">
        <v>22</v>
      </c>
      <c r="B122" s="208" t="s">
        <v>335</v>
      </c>
      <c r="C122" s="208" t="s">
        <v>336</v>
      </c>
      <c r="D122" s="50" t="s">
        <v>238</v>
      </c>
      <c r="E122" s="59"/>
      <c r="F122" s="59">
        <v>170</v>
      </c>
      <c r="G122" s="21"/>
      <c r="H122" s="21">
        <f>G122*F122</f>
        <v>0</v>
      </c>
      <c r="I122" s="21"/>
      <c r="J122" s="21">
        <f>I122*F122</f>
        <v>0</v>
      </c>
      <c r="K122" s="21"/>
      <c r="L122" s="21"/>
      <c r="M122" s="21">
        <f t="shared" si="14"/>
        <v>0</v>
      </c>
    </row>
    <row r="123" spans="1:13">
      <c r="A123" s="22"/>
      <c r="B123" s="209" t="s">
        <v>116</v>
      </c>
      <c r="C123" s="209" t="s">
        <v>237</v>
      </c>
      <c r="D123" s="210" t="s">
        <v>238</v>
      </c>
      <c r="E123" s="58">
        <v>1</v>
      </c>
      <c r="F123" s="59">
        <f>E123*$F$122</f>
        <v>170</v>
      </c>
      <c r="G123" s="24"/>
      <c r="H123" s="24"/>
      <c r="I123" s="24"/>
      <c r="J123" s="24">
        <f>I123*F123</f>
        <v>0</v>
      </c>
      <c r="K123" s="24"/>
      <c r="L123" s="24"/>
      <c r="M123" s="24">
        <f t="shared" si="14"/>
        <v>0</v>
      </c>
    </row>
    <row r="124" spans="1:13">
      <c r="A124" s="22"/>
      <c r="B124" s="209" t="s">
        <v>337</v>
      </c>
      <c r="C124" s="209" t="s">
        <v>338</v>
      </c>
      <c r="D124" s="217" t="s">
        <v>292</v>
      </c>
      <c r="E124" s="58">
        <v>0.05</v>
      </c>
      <c r="F124" s="59">
        <f>E124*$F$122</f>
        <v>8.5</v>
      </c>
      <c r="G124" s="24"/>
      <c r="H124" s="24">
        <f>G124*F124</f>
        <v>0</v>
      </c>
      <c r="I124" s="24"/>
      <c r="J124" s="24"/>
      <c r="K124" s="24"/>
      <c r="L124" s="24"/>
      <c r="M124" s="24">
        <f t="shared" si="14"/>
        <v>0</v>
      </c>
    </row>
    <row r="125" spans="1:13">
      <c r="A125" s="22"/>
      <c r="B125" s="214" t="s">
        <v>397</v>
      </c>
      <c r="C125" s="214" t="s">
        <v>398</v>
      </c>
      <c r="D125" s="210" t="s">
        <v>238</v>
      </c>
      <c r="E125" s="58">
        <v>1.02</v>
      </c>
      <c r="F125" s="59">
        <f>E125*$F$122</f>
        <v>173.4</v>
      </c>
      <c r="G125" s="24"/>
      <c r="H125" s="24">
        <f>G125*F125</f>
        <v>0</v>
      </c>
      <c r="I125" s="24"/>
      <c r="J125" s="24"/>
      <c r="K125" s="24"/>
      <c r="L125" s="24"/>
      <c r="M125" s="24">
        <f t="shared" si="14"/>
        <v>0</v>
      </c>
    </row>
    <row r="126" spans="1:13">
      <c r="A126" s="22"/>
      <c r="B126" s="209" t="s">
        <v>250</v>
      </c>
      <c r="C126" s="209" t="s">
        <v>251</v>
      </c>
      <c r="D126" s="210" t="s">
        <v>252</v>
      </c>
      <c r="E126" s="58">
        <v>1</v>
      </c>
      <c r="F126" s="59">
        <f>E126*$F$122</f>
        <v>170</v>
      </c>
      <c r="G126" s="24"/>
      <c r="H126" s="24">
        <f>G126*F126</f>
        <v>0</v>
      </c>
      <c r="I126" s="24"/>
      <c r="J126" s="24"/>
      <c r="K126" s="24"/>
      <c r="L126" s="24"/>
      <c r="M126" s="24">
        <f t="shared" si="14"/>
        <v>0</v>
      </c>
    </row>
    <row r="127" spans="1:13" s="20" customFormat="1" ht="19.95" customHeight="1">
      <c r="A127" s="14"/>
      <c r="B127" s="32" t="s">
        <v>38</v>
      </c>
      <c r="C127" s="143" t="s">
        <v>39</v>
      </c>
      <c r="D127" s="1"/>
      <c r="E127" s="23"/>
      <c r="F127" s="23"/>
      <c r="G127" s="73"/>
      <c r="H127" s="73">
        <f>SUM(H10:H126)</f>
        <v>0</v>
      </c>
      <c r="I127" s="73"/>
      <c r="J127" s="73">
        <f>SUM(J10:J126)</f>
        <v>0</v>
      </c>
      <c r="K127" s="73"/>
      <c r="L127" s="73">
        <f>SUM(L10:L126)</f>
        <v>0</v>
      </c>
      <c r="M127" s="73">
        <f>SUM(M10:M126)</f>
        <v>0</v>
      </c>
    </row>
    <row r="128" spans="1:13" s="20" customFormat="1" ht="31.95" customHeight="1">
      <c r="A128" s="14"/>
      <c r="B128" s="36" t="s">
        <v>285</v>
      </c>
      <c r="C128" s="143" t="s">
        <v>286</v>
      </c>
      <c r="D128" s="37">
        <v>0</v>
      </c>
      <c r="E128" s="1"/>
      <c r="F128" s="18"/>
      <c r="G128" s="8"/>
      <c r="H128" s="8"/>
      <c r="I128" s="8"/>
      <c r="J128" s="8"/>
      <c r="K128" s="8"/>
      <c r="L128" s="8"/>
      <c r="M128" s="38">
        <f>(H127)*D128</f>
        <v>0</v>
      </c>
    </row>
    <row r="129" spans="1:13" s="20" customFormat="1" ht="19.95" customHeight="1">
      <c r="A129" s="14"/>
      <c r="B129" s="32" t="s">
        <v>38</v>
      </c>
      <c r="C129" s="143" t="s">
        <v>39</v>
      </c>
      <c r="D129" s="2"/>
      <c r="E129" s="1"/>
      <c r="F129" s="18"/>
      <c r="G129" s="8"/>
      <c r="H129" s="8"/>
      <c r="I129" s="8"/>
      <c r="J129" s="8"/>
      <c r="K129" s="8"/>
      <c r="L129" s="8"/>
      <c r="M129" s="38">
        <f>M128+M127</f>
        <v>0</v>
      </c>
    </row>
    <row r="130" spans="1:13" s="20" customFormat="1" ht="19.95" customHeight="1">
      <c r="A130" s="14"/>
      <c r="B130" s="32" t="s">
        <v>43</v>
      </c>
      <c r="C130" s="39" t="s">
        <v>44</v>
      </c>
      <c r="D130" s="2">
        <v>0</v>
      </c>
      <c r="E130" s="1"/>
      <c r="F130" s="1"/>
      <c r="G130" s="8"/>
      <c r="H130" s="8"/>
      <c r="I130" s="8"/>
      <c r="J130" s="8"/>
      <c r="K130" s="8"/>
      <c r="L130" s="8"/>
      <c r="M130" s="31">
        <f>M129*D130</f>
        <v>0</v>
      </c>
    </row>
    <row r="131" spans="1:13" s="20" customFormat="1" ht="19.95" customHeight="1">
      <c r="A131" s="14"/>
      <c r="B131" s="32" t="s">
        <v>38</v>
      </c>
      <c r="C131" s="143" t="s">
        <v>39</v>
      </c>
      <c r="D131" s="2"/>
      <c r="E131" s="1"/>
      <c r="F131" s="1"/>
      <c r="G131" s="8"/>
      <c r="H131" s="8"/>
      <c r="I131" s="8"/>
      <c r="J131" s="8"/>
      <c r="K131" s="8"/>
      <c r="L131" s="8"/>
      <c r="M131" s="38">
        <f>SUM(M129:M130)</f>
        <v>0</v>
      </c>
    </row>
    <row r="132" spans="1:13" s="20" customFormat="1" ht="19.95" customHeight="1">
      <c r="A132" s="14"/>
      <c r="B132" s="32" t="s">
        <v>45</v>
      </c>
      <c r="C132" s="39" t="s">
        <v>46</v>
      </c>
      <c r="D132" s="2">
        <v>0</v>
      </c>
      <c r="E132" s="1"/>
      <c r="F132" s="1"/>
      <c r="G132" s="8"/>
      <c r="H132" s="8"/>
      <c r="I132" s="8"/>
      <c r="J132" s="8"/>
      <c r="K132" s="8"/>
      <c r="L132" s="8"/>
      <c r="M132" s="31">
        <f>M131*D132</f>
        <v>0</v>
      </c>
    </row>
    <row r="133" spans="1:13" s="20" customFormat="1" ht="19.95" customHeight="1">
      <c r="A133" s="14"/>
      <c r="B133" s="32" t="s">
        <v>38</v>
      </c>
      <c r="C133" s="143" t="s">
        <v>39</v>
      </c>
      <c r="D133" s="2"/>
      <c r="E133" s="1"/>
      <c r="F133" s="1"/>
      <c r="G133" s="8"/>
      <c r="H133" s="8"/>
      <c r="I133" s="8"/>
      <c r="J133" s="8"/>
      <c r="K133" s="8"/>
      <c r="L133" s="8"/>
      <c r="M133" s="40">
        <f>SUM(M131:M132)</f>
        <v>0</v>
      </c>
    </row>
    <row r="134" spans="1:13" s="20" customFormat="1" ht="19.95" customHeight="1">
      <c r="A134" s="14"/>
      <c r="B134" s="32" t="s">
        <v>163</v>
      </c>
      <c r="C134" s="39" t="s">
        <v>164</v>
      </c>
      <c r="D134" s="2">
        <v>0</v>
      </c>
      <c r="E134" s="1"/>
      <c r="F134" s="1"/>
      <c r="G134" s="8"/>
      <c r="H134" s="8"/>
      <c r="I134" s="8"/>
      <c r="J134" s="8"/>
      <c r="K134" s="8"/>
      <c r="L134" s="8"/>
      <c r="M134" s="31">
        <f>M133*D134</f>
        <v>0</v>
      </c>
    </row>
    <row r="135" spans="1:13" s="20" customFormat="1" ht="19.95" customHeight="1">
      <c r="A135" s="14"/>
      <c r="B135" s="36" t="s">
        <v>38</v>
      </c>
      <c r="C135" s="36" t="s">
        <v>39</v>
      </c>
      <c r="D135" s="1" t="s">
        <v>40</v>
      </c>
      <c r="E135" s="1"/>
      <c r="F135" s="1"/>
      <c r="G135" s="8"/>
      <c r="H135" s="8"/>
      <c r="I135" s="8"/>
      <c r="J135" s="8"/>
      <c r="K135" s="8"/>
      <c r="L135" s="8"/>
      <c r="M135" s="38">
        <f>M134+M133</f>
        <v>0</v>
      </c>
    </row>
    <row r="136" spans="1:13" s="20" customFormat="1" ht="19.95" customHeight="1">
      <c r="A136" s="14"/>
      <c r="B136" s="32" t="s">
        <v>47</v>
      </c>
      <c r="C136" s="39" t="s">
        <v>48</v>
      </c>
      <c r="D136" s="2">
        <v>0.18</v>
      </c>
      <c r="E136" s="1"/>
      <c r="F136" s="1"/>
      <c r="G136" s="8"/>
      <c r="H136" s="8"/>
      <c r="I136" s="8"/>
      <c r="J136" s="8"/>
      <c r="K136" s="8"/>
      <c r="L136" s="8"/>
      <c r="M136" s="31">
        <f>M135*D136</f>
        <v>0</v>
      </c>
    </row>
    <row r="137" spans="1:13" s="20" customFormat="1" ht="25.95" customHeight="1" thickBot="1">
      <c r="A137" s="41"/>
      <c r="B137" s="42" t="s">
        <v>49</v>
      </c>
      <c r="C137" s="43" t="s">
        <v>50</v>
      </c>
      <c r="D137" s="44" t="s">
        <v>40</v>
      </c>
      <c r="E137" s="44"/>
      <c r="F137" s="44"/>
      <c r="G137" s="45"/>
      <c r="H137" s="45"/>
      <c r="I137" s="45"/>
      <c r="J137" s="45"/>
      <c r="K137" s="45"/>
      <c r="L137" s="45"/>
      <c r="M137" s="46">
        <f>SUM(M135:M136)</f>
        <v>0</v>
      </c>
    </row>
  </sheetData>
  <sheetProtection algorithmName="SHA-512" hashValue="4mkWgYn4g/1LvMiaGS5osZ3Q0C1DLrkKwQtIj3cG0CnZNAH04nDDbjRm5zn01vmwYMFl+nW+nqBDiCbO0OiRGw==" saltValue="jUtXFD+hINzHP0PPIMMlhw==" spinCount="100000" sheet="1" objects="1" scenarios="1" formatCells="0" formatColumns="0" formatRows="0"/>
  <protectedRanges>
    <protectedRange sqref="D130 D132" name="Range4_1_1"/>
    <protectedRange sqref="D134" name="Range4_1_1_2_1_1"/>
    <protectedRange sqref="G8 G25" name="Range1_5"/>
    <protectedRange sqref="I8 I25" name="Range2_4"/>
    <protectedRange sqref="K8 K25" name="Range3_2"/>
    <protectedRange sqref="G16 G76" name="Range1_5_1"/>
    <protectedRange sqref="I16 I76" name="Range2_4_1"/>
    <protectedRange sqref="K16 K76" name="Range3_2_1"/>
  </protectedRanges>
  <mergeCells count="11">
    <mergeCell ref="M4:M5"/>
    <mergeCell ref="B1:M2"/>
    <mergeCell ref="A4:A5"/>
    <mergeCell ref="B4:B5"/>
    <mergeCell ref="C4:C5"/>
    <mergeCell ref="D4:D5"/>
    <mergeCell ref="E4:E5"/>
    <mergeCell ref="F4:F5"/>
    <mergeCell ref="G4:H4"/>
    <mergeCell ref="I4:J4"/>
    <mergeCell ref="K4:L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4FA84-4D74-4571-AD94-9465E5671ABA}">
  <sheetPr>
    <tabColor rgb="FF92D050"/>
  </sheetPr>
  <dimension ref="A1:M102"/>
  <sheetViews>
    <sheetView zoomScale="85" zoomScaleNormal="85" workbookViewId="0">
      <pane xSplit="3" ySplit="6" topLeftCell="D86" activePane="bottomRight" state="frozen"/>
      <selection activeCell="E415" sqref="E415"/>
      <selection pane="topRight" activeCell="E415" sqref="E415"/>
      <selection pane="bottomLeft" activeCell="E415" sqref="E415"/>
      <selection pane="bottomRight" activeCell="D90" sqref="D90"/>
    </sheetView>
  </sheetViews>
  <sheetFormatPr defaultRowHeight="14.4"/>
  <cols>
    <col min="1" max="1" width="3" style="20" bestFit="1" customWidth="1"/>
    <col min="2" max="2" width="33" style="12" bestFit="1" customWidth="1"/>
    <col min="3" max="3" width="36.109375" style="12" bestFit="1" customWidth="1"/>
    <col min="4" max="4" width="14.77734375" style="20" bestFit="1" customWidth="1"/>
    <col min="5" max="5" width="16.109375" style="12" bestFit="1" customWidth="1"/>
    <col min="6" max="6" width="12.6640625" style="20" bestFit="1" customWidth="1"/>
    <col min="7" max="11" width="11.109375" style="12" bestFit="1" customWidth="1"/>
    <col min="12" max="12" width="8.88671875" style="12" customWidth="1"/>
    <col min="13" max="13" width="13.44140625" style="12" bestFit="1" customWidth="1"/>
    <col min="14" max="16384" width="8.88671875" style="12"/>
  </cols>
  <sheetData>
    <row r="1" spans="1:13" s="10" customFormat="1" ht="19.95" customHeight="1">
      <c r="A1" s="55"/>
      <c r="B1" s="144" t="s">
        <v>409</v>
      </c>
      <c r="C1" s="145"/>
      <c r="D1" s="145"/>
      <c r="E1" s="145"/>
      <c r="F1" s="145"/>
      <c r="G1" s="145"/>
      <c r="H1" s="145"/>
      <c r="I1" s="145"/>
      <c r="J1" s="145"/>
      <c r="K1" s="145"/>
      <c r="L1" s="145"/>
      <c r="M1" s="145"/>
    </row>
    <row r="2" spans="1:13" ht="30.6" customHeight="1">
      <c r="A2" s="11"/>
      <c r="B2" s="145"/>
      <c r="C2" s="145"/>
      <c r="D2" s="145"/>
      <c r="E2" s="145"/>
      <c r="F2" s="145"/>
      <c r="G2" s="145"/>
      <c r="H2" s="145"/>
      <c r="I2" s="145"/>
      <c r="J2" s="145"/>
      <c r="K2" s="145"/>
      <c r="L2" s="145"/>
      <c r="M2" s="145"/>
    </row>
    <row r="3" spans="1:13" ht="30.6" customHeight="1">
      <c r="A3" s="11"/>
      <c r="B3" s="140"/>
      <c r="C3" s="140"/>
      <c r="D3" s="140"/>
      <c r="E3" s="140"/>
      <c r="F3" s="140"/>
      <c r="G3" s="140"/>
      <c r="H3" s="140"/>
      <c r="I3" s="140"/>
      <c r="J3" s="140"/>
      <c r="K3" s="140"/>
      <c r="L3" s="140"/>
      <c r="M3" s="140"/>
    </row>
    <row r="4" spans="1:13" s="13" customFormat="1" ht="27.6" customHeight="1">
      <c r="A4" s="150" t="s">
        <v>0</v>
      </c>
      <c r="B4" s="152" t="s">
        <v>1</v>
      </c>
      <c r="C4" s="152" t="s">
        <v>2</v>
      </c>
      <c r="D4" s="152" t="s">
        <v>3</v>
      </c>
      <c r="E4" s="152" t="s">
        <v>4</v>
      </c>
      <c r="F4" s="152" t="s">
        <v>5</v>
      </c>
      <c r="G4" s="152" t="s">
        <v>166</v>
      </c>
      <c r="H4" s="152"/>
      <c r="I4" s="152" t="s">
        <v>6</v>
      </c>
      <c r="J4" s="152"/>
      <c r="K4" s="152" t="s">
        <v>7</v>
      </c>
      <c r="L4" s="152"/>
      <c r="M4" s="152" t="s">
        <v>8</v>
      </c>
    </row>
    <row r="5" spans="1:13" s="13" customFormat="1" ht="33.6" customHeight="1">
      <c r="A5" s="150"/>
      <c r="B5" s="152"/>
      <c r="C5" s="152"/>
      <c r="D5" s="152"/>
      <c r="E5" s="152"/>
      <c r="F5" s="152"/>
      <c r="G5" s="143" t="s">
        <v>9</v>
      </c>
      <c r="H5" s="143" t="s">
        <v>10</v>
      </c>
      <c r="I5" s="143" t="s">
        <v>9</v>
      </c>
      <c r="J5" s="143" t="s">
        <v>10</v>
      </c>
      <c r="K5" s="143" t="s">
        <v>9</v>
      </c>
      <c r="L5" s="143" t="s">
        <v>10</v>
      </c>
      <c r="M5" s="152"/>
    </row>
    <row r="6" spans="1:13" s="13" customFormat="1" ht="16.95" customHeight="1">
      <c r="A6" s="142">
        <v>1</v>
      </c>
      <c r="B6" s="142">
        <v>2</v>
      </c>
      <c r="C6" s="142">
        <v>3</v>
      </c>
      <c r="D6" s="142">
        <v>4</v>
      </c>
      <c r="E6" s="142">
        <v>5</v>
      </c>
      <c r="F6" s="142">
        <v>6</v>
      </c>
      <c r="G6" s="142">
        <v>7</v>
      </c>
      <c r="H6" s="142">
        <v>8</v>
      </c>
      <c r="I6" s="142">
        <v>9</v>
      </c>
      <c r="J6" s="142">
        <v>10</v>
      </c>
      <c r="K6" s="142">
        <v>11</v>
      </c>
      <c r="L6" s="142">
        <v>12</v>
      </c>
      <c r="M6" s="142">
        <v>13</v>
      </c>
    </row>
    <row r="7" spans="1:13" s="20" customFormat="1" ht="19.95" customHeight="1">
      <c r="A7" s="14"/>
      <c r="B7" s="15" t="s">
        <v>52</v>
      </c>
      <c r="C7" s="16" t="s">
        <v>54</v>
      </c>
      <c r="D7" s="17"/>
      <c r="E7" s="18"/>
      <c r="F7" s="18"/>
      <c r="G7" s="1"/>
      <c r="H7" s="1"/>
      <c r="I7" s="1"/>
      <c r="J7" s="1"/>
      <c r="K7" s="1"/>
      <c r="L7" s="1"/>
      <c r="M7" s="19"/>
    </row>
    <row r="8" spans="1:13" s="13" customFormat="1" ht="16.95" customHeight="1">
      <c r="A8" s="142"/>
      <c r="B8" s="218" t="s">
        <v>363</v>
      </c>
      <c r="C8" s="218" t="s">
        <v>364</v>
      </c>
      <c r="D8" s="50"/>
      <c r="E8" s="53"/>
      <c r="F8" s="53"/>
      <c r="G8" s="28"/>
      <c r="H8" s="28"/>
      <c r="I8" s="28"/>
      <c r="J8" s="28"/>
      <c r="K8" s="28"/>
      <c r="L8" s="28"/>
      <c r="M8" s="28"/>
    </row>
    <row r="9" spans="1:13" s="30" customFormat="1">
      <c r="A9" s="142">
        <v>1</v>
      </c>
      <c r="B9" s="219" t="s">
        <v>322</v>
      </c>
      <c r="C9" s="219" t="s">
        <v>323</v>
      </c>
      <c r="D9" s="50" t="s">
        <v>238</v>
      </c>
      <c r="E9" s="57"/>
      <c r="F9" s="47">
        <v>242.75</v>
      </c>
      <c r="G9" s="26"/>
      <c r="H9" s="26"/>
      <c r="I9" s="26"/>
      <c r="J9" s="26"/>
      <c r="K9" s="26"/>
      <c r="L9" s="26"/>
      <c r="M9" s="26"/>
    </row>
    <row r="10" spans="1:13" s="30" customFormat="1">
      <c r="A10" s="142"/>
      <c r="B10" s="209" t="s">
        <v>116</v>
      </c>
      <c r="C10" s="209" t="s">
        <v>237</v>
      </c>
      <c r="D10" s="53" t="s">
        <v>238</v>
      </c>
      <c r="E10" s="58">
        <v>1</v>
      </c>
      <c r="F10" s="59">
        <f>E10*F9</f>
        <v>242.75</v>
      </c>
      <c r="G10" s="29"/>
      <c r="H10" s="29"/>
      <c r="I10" s="29"/>
      <c r="J10" s="24">
        <f>I10*F10</f>
        <v>0</v>
      </c>
      <c r="K10" s="29"/>
      <c r="L10" s="29"/>
      <c r="M10" s="24">
        <f>L10+J10+H10</f>
        <v>0</v>
      </c>
    </row>
    <row r="11" spans="1:13" s="30" customFormat="1">
      <c r="A11" s="142"/>
      <c r="B11" s="209" t="s">
        <v>322</v>
      </c>
      <c r="C11" s="209" t="s">
        <v>323</v>
      </c>
      <c r="D11" s="53" t="s">
        <v>238</v>
      </c>
      <c r="E11" s="58">
        <v>1.05</v>
      </c>
      <c r="F11" s="59">
        <f>E11*F9</f>
        <v>254.88750000000002</v>
      </c>
      <c r="G11" s="29"/>
      <c r="H11" s="24">
        <f>G11*F11</f>
        <v>0</v>
      </c>
      <c r="I11" s="29"/>
      <c r="J11" s="29"/>
      <c r="K11" s="29"/>
      <c r="L11" s="29"/>
      <c r="M11" s="24">
        <f>L11+J11+H11</f>
        <v>0</v>
      </c>
    </row>
    <row r="12" spans="1:13" s="30" customFormat="1">
      <c r="A12" s="142">
        <v>2</v>
      </c>
      <c r="B12" s="219" t="s">
        <v>365</v>
      </c>
      <c r="C12" s="219" t="s">
        <v>366</v>
      </c>
      <c r="D12" s="50" t="s">
        <v>238</v>
      </c>
      <c r="E12" s="57"/>
      <c r="F12" s="47">
        <f>F9</f>
        <v>242.75</v>
      </c>
      <c r="G12" s="56"/>
      <c r="H12" s="56"/>
      <c r="I12" s="56"/>
      <c r="J12" s="56"/>
      <c r="K12" s="56"/>
      <c r="L12" s="56"/>
      <c r="M12" s="56"/>
    </row>
    <row r="13" spans="1:13" s="30" customFormat="1">
      <c r="A13" s="142"/>
      <c r="B13" s="209" t="s">
        <v>116</v>
      </c>
      <c r="C13" s="209" t="s">
        <v>237</v>
      </c>
      <c r="D13" s="53" t="s">
        <v>238</v>
      </c>
      <c r="E13" s="58">
        <v>1</v>
      </c>
      <c r="F13" s="59">
        <f>E13*F12</f>
        <v>242.75</v>
      </c>
      <c r="G13" s="29"/>
      <c r="H13" s="29"/>
      <c r="I13" s="29"/>
      <c r="J13" s="24">
        <f>I13*F13</f>
        <v>0</v>
      </c>
      <c r="K13" s="29"/>
      <c r="L13" s="29"/>
      <c r="M13" s="24">
        <f>L13+J13+H13</f>
        <v>0</v>
      </c>
    </row>
    <row r="14" spans="1:13" s="30" customFormat="1">
      <c r="A14" s="142"/>
      <c r="B14" s="209" t="s">
        <v>365</v>
      </c>
      <c r="C14" s="209" t="s">
        <v>366</v>
      </c>
      <c r="D14" s="53" t="s">
        <v>238</v>
      </c>
      <c r="E14" s="58">
        <v>1.1000000000000001</v>
      </c>
      <c r="F14" s="59">
        <f>E14*F12</f>
        <v>267.02500000000003</v>
      </c>
      <c r="G14" s="29"/>
      <c r="H14" s="24">
        <f>G14*F14</f>
        <v>0</v>
      </c>
      <c r="I14" s="29"/>
      <c r="J14" s="29"/>
      <c r="K14" s="29"/>
      <c r="L14" s="29"/>
      <c r="M14" s="24">
        <f>L14+J14+H14</f>
        <v>0</v>
      </c>
    </row>
    <row r="15" spans="1:13" s="30" customFormat="1" ht="24">
      <c r="A15" s="142">
        <v>3</v>
      </c>
      <c r="B15" s="219" t="s">
        <v>346</v>
      </c>
      <c r="C15" s="219" t="s">
        <v>347</v>
      </c>
      <c r="D15" s="50" t="s">
        <v>238</v>
      </c>
      <c r="E15" s="57"/>
      <c r="F15" s="47">
        <f>F9</f>
        <v>242.75</v>
      </c>
      <c r="G15" s="56"/>
      <c r="H15" s="56"/>
      <c r="I15" s="56"/>
      <c r="J15" s="56"/>
      <c r="K15" s="56"/>
      <c r="L15" s="56"/>
      <c r="M15" s="56"/>
    </row>
    <row r="16" spans="1:13">
      <c r="A16" s="25"/>
      <c r="B16" s="209" t="s">
        <v>116</v>
      </c>
      <c r="C16" s="209" t="s">
        <v>237</v>
      </c>
      <c r="D16" s="53" t="s">
        <v>238</v>
      </c>
      <c r="E16" s="58">
        <v>1</v>
      </c>
      <c r="F16" s="59">
        <f>E16*$F$15</f>
        <v>242.75</v>
      </c>
      <c r="G16" s="24"/>
      <c r="H16" s="24"/>
      <c r="I16" s="24"/>
      <c r="J16" s="24">
        <f>I16*F16</f>
        <v>0</v>
      </c>
      <c r="K16" s="24"/>
      <c r="L16" s="24"/>
      <c r="M16" s="24">
        <f>L16+J16+H16</f>
        <v>0</v>
      </c>
    </row>
    <row r="17" spans="1:13">
      <c r="A17" s="25"/>
      <c r="B17" s="209" t="s">
        <v>350</v>
      </c>
      <c r="C17" s="209" t="s">
        <v>351</v>
      </c>
      <c r="D17" s="53" t="s">
        <v>238</v>
      </c>
      <c r="E17" s="58">
        <v>1.05</v>
      </c>
      <c r="F17" s="59">
        <f>E17*$F$15</f>
        <v>254.88750000000002</v>
      </c>
      <c r="G17" s="24"/>
      <c r="H17" s="24">
        <f>G17*F17</f>
        <v>0</v>
      </c>
      <c r="I17" s="24"/>
      <c r="J17" s="24">
        <f>I17*F17</f>
        <v>0</v>
      </c>
      <c r="K17" s="24"/>
      <c r="L17" s="24"/>
      <c r="M17" s="24">
        <f>L17+J17+H17</f>
        <v>0</v>
      </c>
    </row>
    <row r="18" spans="1:13">
      <c r="A18" s="25"/>
      <c r="B18" s="209" t="s">
        <v>250</v>
      </c>
      <c r="C18" s="209" t="s">
        <v>251</v>
      </c>
      <c r="D18" s="210" t="s">
        <v>252</v>
      </c>
      <c r="E18" s="58">
        <v>1</v>
      </c>
      <c r="F18" s="59">
        <f>E18*$F$15</f>
        <v>242.75</v>
      </c>
      <c r="G18" s="24"/>
      <c r="H18" s="24">
        <f>G18*F18</f>
        <v>0</v>
      </c>
      <c r="I18" s="24"/>
      <c r="J18" s="24">
        <f>I18*F18</f>
        <v>0</v>
      </c>
      <c r="K18" s="24"/>
      <c r="L18" s="24"/>
      <c r="M18" s="24">
        <f>L18+J18+H18</f>
        <v>0</v>
      </c>
    </row>
    <row r="19" spans="1:13" s="30" customFormat="1" ht="24">
      <c r="A19" s="142">
        <v>4</v>
      </c>
      <c r="B19" s="219" t="s">
        <v>367</v>
      </c>
      <c r="C19" s="219" t="s">
        <v>368</v>
      </c>
      <c r="D19" s="50" t="s">
        <v>238</v>
      </c>
      <c r="E19" s="57"/>
      <c r="F19" s="47">
        <f>F15</f>
        <v>242.75</v>
      </c>
      <c r="G19" s="56"/>
      <c r="H19" s="56"/>
      <c r="I19" s="56"/>
      <c r="J19" s="56"/>
      <c r="K19" s="56"/>
      <c r="L19" s="56"/>
      <c r="M19" s="56"/>
    </row>
    <row r="20" spans="1:13" s="30" customFormat="1">
      <c r="A20" s="142"/>
      <c r="B20" s="209" t="s">
        <v>116</v>
      </c>
      <c r="C20" s="209" t="s">
        <v>237</v>
      </c>
      <c r="D20" s="53" t="s">
        <v>238</v>
      </c>
      <c r="E20" s="58">
        <v>1</v>
      </c>
      <c r="F20" s="59">
        <f>E20*F19</f>
        <v>242.75</v>
      </c>
      <c r="G20" s="29"/>
      <c r="H20" s="29"/>
      <c r="I20" s="29"/>
      <c r="J20" s="24">
        <f>I20*F20</f>
        <v>0</v>
      </c>
      <c r="K20" s="29"/>
      <c r="L20" s="29"/>
      <c r="M20" s="24">
        <f>L20+J20+H20</f>
        <v>0</v>
      </c>
    </row>
    <row r="21" spans="1:13" s="30" customFormat="1">
      <c r="A21" s="142"/>
      <c r="B21" s="209" t="s">
        <v>369</v>
      </c>
      <c r="C21" s="209" t="s">
        <v>368</v>
      </c>
      <c r="D21" s="53" t="s">
        <v>238</v>
      </c>
      <c r="E21" s="58">
        <v>1.1000000000000001</v>
      </c>
      <c r="F21" s="59">
        <f>E21*F19</f>
        <v>267.02500000000003</v>
      </c>
      <c r="G21" s="29"/>
      <c r="H21" s="24">
        <f>G21*F21</f>
        <v>0</v>
      </c>
      <c r="I21" s="29"/>
      <c r="J21" s="29"/>
      <c r="K21" s="29"/>
      <c r="L21" s="29"/>
      <c r="M21" s="24">
        <f>L21+J21+H21</f>
        <v>0</v>
      </c>
    </row>
    <row r="22" spans="1:13" s="30" customFormat="1">
      <c r="A22" s="142">
        <v>5</v>
      </c>
      <c r="B22" s="219" t="s">
        <v>370</v>
      </c>
      <c r="C22" s="219" t="s">
        <v>371</v>
      </c>
      <c r="D22" s="50" t="s">
        <v>238</v>
      </c>
      <c r="E22" s="57"/>
      <c r="F22" s="47">
        <f>F19</f>
        <v>242.75</v>
      </c>
      <c r="G22" s="56"/>
      <c r="H22" s="56"/>
      <c r="I22" s="56"/>
      <c r="J22" s="56"/>
      <c r="K22" s="56"/>
      <c r="L22" s="56"/>
      <c r="M22" s="56"/>
    </row>
    <row r="23" spans="1:13" s="30" customFormat="1">
      <c r="A23" s="142"/>
      <c r="B23" s="209" t="s">
        <v>116</v>
      </c>
      <c r="C23" s="209" t="s">
        <v>237</v>
      </c>
      <c r="D23" s="53" t="s">
        <v>238</v>
      </c>
      <c r="E23" s="58">
        <v>1</v>
      </c>
      <c r="F23" s="59">
        <f>E23*F22</f>
        <v>242.75</v>
      </c>
      <c r="G23" s="29"/>
      <c r="H23" s="29"/>
      <c r="I23" s="29"/>
      <c r="J23" s="24">
        <f>I23*F23</f>
        <v>0</v>
      </c>
      <c r="K23" s="29"/>
      <c r="L23" s="29"/>
      <c r="M23" s="24">
        <f>L23+J23+H23</f>
        <v>0</v>
      </c>
    </row>
    <row r="24" spans="1:13" s="30" customFormat="1">
      <c r="A24" s="142"/>
      <c r="B24" s="209" t="s">
        <v>370</v>
      </c>
      <c r="C24" s="209" t="s">
        <v>372</v>
      </c>
      <c r="D24" s="53" t="s">
        <v>238</v>
      </c>
      <c r="E24" s="58">
        <v>1.1000000000000001</v>
      </c>
      <c r="F24" s="59">
        <f>E24*F22</f>
        <v>267.02500000000003</v>
      </c>
      <c r="G24" s="29"/>
      <c r="H24" s="24">
        <f>G24*F24</f>
        <v>0</v>
      </c>
      <c r="I24" s="29"/>
      <c r="J24" s="29"/>
      <c r="K24" s="29"/>
      <c r="L24" s="29"/>
      <c r="M24" s="24">
        <f>L24+J24+H24</f>
        <v>0</v>
      </c>
    </row>
    <row r="25" spans="1:13" s="30" customFormat="1">
      <c r="A25" s="142">
        <v>6</v>
      </c>
      <c r="B25" s="219" t="s">
        <v>373</v>
      </c>
      <c r="C25" s="219" t="s">
        <v>374</v>
      </c>
      <c r="D25" s="50" t="s">
        <v>238</v>
      </c>
      <c r="E25" s="57"/>
      <c r="F25" s="47">
        <f>F19</f>
        <v>242.75</v>
      </c>
      <c r="G25" s="56"/>
      <c r="H25" s="56"/>
      <c r="I25" s="56"/>
      <c r="J25" s="56"/>
      <c r="K25" s="56"/>
      <c r="L25" s="56"/>
      <c r="M25" s="56"/>
    </row>
    <row r="26" spans="1:13" s="30" customFormat="1">
      <c r="A26" s="142"/>
      <c r="B26" s="209" t="s">
        <v>116</v>
      </c>
      <c r="C26" s="209" t="s">
        <v>237</v>
      </c>
      <c r="D26" s="53" t="s">
        <v>238</v>
      </c>
      <c r="E26" s="58">
        <v>1</v>
      </c>
      <c r="F26" s="59">
        <f>E26*F25</f>
        <v>242.75</v>
      </c>
      <c r="G26" s="29"/>
      <c r="H26" s="29"/>
      <c r="I26" s="29"/>
      <c r="J26" s="24">
        <f>I26*F26</f>
        <v>0</v>
      </c>
      <c r="K26" s="29"/>
      <c r="L26" s="29"/>
      <c r="M26" s="24">
        <f>L26+J26+H26</f>
        <v>0</v>
      </c>
    </row>
    <row r="27" spans="1:13" s="30" customFormat="1">
      <c r="A27" s="142"/>
      <c r="B27" s="209" t="s">
        <v>373</v>
      </c>
      <c r="C27" s="209" t="s">
        <v>374</v>
      </c>
      <c r="D27" s="53" t="s">
        <v>333</v>
      </c>
      <c r="E27" s="58">
        <v>1.2</v>
      </c>
      <c r="F27" s="59">
        <f>E27*F25</f>
        <v>291.3</v>
      </c>
      <c r="G27" s="29"/>
      <c r="H27" s="24">
        <f>G27*F27</f>
        <v>0</v>
      </c>
      <c r="I27" s="29"/>
      <c r="J27" s="29"/>
      <c r="K27" s="29"/>
      <c r="L27" s="29"/>
      <c r="M27" s="24">
        <f>L27+J27+H27</f>
        <v>0</v>
      </c>
    </row>
    <row r="28" spans="1:13" s="30" customFormat="1">
      <c r="A28" s="142">
        <v>7</v>
      </c>
      <c r="B28" s="220" t="s">
        <v>399</v>
      </c>
      <c r="C28" s="220" t="s">
        <v>400</v>
      </c>
      <c r="D28" s="50" t="s">
        <v>238</v>
      </c>
      <c r="E28" s="57"/>
      <c r="F28" s="47">
        <f>120*0.5</f>
        <v>60</v>
      </c>
      <c r="G28" s="56"/>
      <c r="H28" s="56"/>
      <c r="I28" s="56"/>
      <c r="J28" s="56"/>
      <c r="K28" s="56"/>
      <c r="L28" s="56"/>
      <c r="M28" s="56"/>
    </row>
    <row r="29" spans="1:13" s="30" customFormat="1">
      <c r="A29" s="142"/>
      <c r="B29" s="214" t="s">
        <v>116</v>
      </c>
      <c r="C29" s="214" t="s">
        <v>237</v>
      </c>
      <c r="D29" s="53" t="s">
        <v>238</v>
      </c>
      <c r="E29" s="58">
        <v>1</v>
      </c>
      <c r="F29" s="59">
        <f>E29*F28</f>
        <v>60</v>
      </c>
      <c r="G29" s="29"/>
      <c r="H29" s="29"/>
      <c r="I29" s="29"/>
      <c r="J29" s="24">
        <f>I29*F29</f>
        <v>0</v>
      </c>
      <c r="K29" s="29"/>
      <c r="L29" s="29"/>
      <c r="M29" s="24">
        <f>L29+J29+H29</f>
        <v>0</v>
      </c>
    </row>
    <row r="30" spans="1:13">
      <c r="A30" s="22"/>
      <c r="B30" s="214" t="s">
        <v>337</v>
      </c>
      <c r="C30" s="214" t="s">
        <v>338</v>
      </c>
      <c r="D30" s="217" t="s">
        <v>292</v>
      </c>
      <c r="E30" s="58">
        <v>0.02</v>
      </c>
      <c r="F30" s="59">
        <f>E30*$F$28</f>
        <v>1.2</v>
      </c>
      <c r="G30" s="24"/>
      <c r="H30" s="24">
        <f>G30*F30</f>
        <v>0</v>
      </c>
      <c r="I30" s="24"/>
      <c r="J30" s="24"/>
      <c r="K30" s="24"/>
      <c r="L30" s="24"/>
      <c r="M30" s="24">
        <f>L30+J30+H30</f>
        <v>0</v>
      </c>
    </row>
    <row r="31" spans="1:13">
      <c r="A31" s="22"/>
      <c r="B31" s="214" t="s">
        <v>250</v>
      </c>
      <c r="C31" s="214" t="s">
        <v>251</v>
      </c>
      <c r="D31" s="210" t="s">
        <v>252</v>
      </c>
      <c r="E31" s="58">
        <v>1</v>
      </c>
      <c r="F31" s="59">
        <f>E31*$F$28</f>
        <v>60</v>
      </c>
      <c r="G31" s="24"/>
      <c r="H31" s="24">
        <f>G31*F31</f>
        <v>0</v>
      </c>
      <c r="I31" s="24"/>
      <c r="J31" s="24"/>
      <c r="K31" s="24"/>
      <c r="L31" s="24"/>
      <c r="M31" s="24">
        <f>L31+J31+H31</f>
        <v>0</v>
      </c>
    </row>
    <row r="32" spans="1:13">
      <c r="A32" s="25"/>
      <c r="B32" s="221" t="s">
        <v>375</v>
      </c>
      <c r="C32" s="221" t="s">
        <v>376</v>
      </c>
      <c r="D32" s="210"/>
      <c r="E32" s="58"/>
      <c r="F32" s="59"/>
      <c r="G32" s="29"/>
      <c r="H32" s="29"/>
      <c r="I32" s="29"/>
      <c r="J32" s="29"/>
      <c r="K32" s="29"/>
      <c r="L32" s="29"/>
      <c r="M32" s="29"/>
    </row>
    <row r="33" spans="1:13" s="30" customFormat="1" ht="24">
      <c r="A33" s="142">
        <v>8</v>
      </c>
      <c r="B33" s="219" t="s">
        <v>377</v>
      </c>
      <c r="C33" s="219" t="s">
        <v>378</v>
      </c>
      <c r="D33" s="50" t="s">
        <v>16</v>
      </c>
      <c r="E33" s="57"/>
      <c r="F33" s="47">
        <v>87.4</v>
      </c>
      <c r="G33" s="56"/>
      <c r="H33" s="56"/>
      <c r="I33" s="56"/>
      <c r="J33" s="56"/>
      <c r="K33" s="56"/>
      <c r="L33" s="56"/>
      <c r="M33" s="56"/>
    </row>
    <row r="34" spans="1:13" s="30" customFormat="1">
      <c r="A34" s="142"/>
      <c r="B34" s="209" t="s">
        <v>116</v>
      </c>
      <c r="C34" s="209" t="s">
        <v>237</v>
      </c>
      <c r="D34" s="53" t="s">
        <v>16</v>
      </c>
      <c r="E34" s="58">
        <v>1</v>
      </c>
      <c r="F34" s="59">
        <f>E34*$F$33</f>
        <v>87.4</v>
      </c>
      <c r="G34" s="29"/>
      <c r="H34" s="29"/>
      <c r="I34" s="29"/>
      <c r="J34" s="24">
        <f>I34*F34</f>
        <v>0</v>
      </c>
      <c r="K34" s="29"/>
      <c r="L34" s="29"/>
      <c r="M34" s="24">
        <f>L34+J34+H34</f>
        <v>0</v>
      </c>
    </row>
    <row r="35" spans="1:13" s="30" customFormat="1">
      <c r="A35" s="142"/>
      <c r="B35" s="209" t="s">
        <v>379</v>
      </c>
      <c r="C35" s="209" t="s">
        <v>380</v>
      </c>
      <c r="D35" s="53" t="s">
        <v>16</v>
      </c>
      <c r="E35" s="58">
        <v>1.02</v>
      </c>
      <c r="F35" s="59">
        <f>E35*$F$33</f>
        <v>89.14800000000001</v>
      </c>
      <c r="G35" s="29"/>
      <c r="H35" s="24">
        <f>G35*F35</f>
        <v>0</v>
      </c>
      <c r="I35" s="29"/>
      <c r="J35" s="24"/>
      <c r="K35" s="29"/>
      <c r="L35" s="29"/>
      <c r="M35" s="24">
        <f>L35+J35+H35</f>
        <v>0</v>
      </c>
    </row>
    <row r="36" spans="1:13" s="30" customFormat="1">
      <c r="A36" s="142"/>
      <c r="B36" s="209" t="s">
        <v>250</v>
      </c>
      <c r="C36" s="209" t="s">
        <v>251</v>
      </c>
      <c r="D36" s="53" t="s">
        <v>40</v>
      </c>
      <c r="E36" s="58">
        <v>1</v>
      </c>
      <c r="F36" s="59">
        <f>E36*$F$33</f>
        <v>87.4</v>
      </c>
      <c r="G36" s="29"/>
      <c r="H36" s="24">
        <f>G36*F36</f>
        <v>0</v>
      </c>
      <c r="I36" s="29"/>
      <c r="J36" s="24"/>
      <c r="K36" s="29"/>
      <c r="L36" s="29"/>
      <c r="M36" s="24">
        <f>L36+J36+H36</f>
        <v>0</v>
      </c>
    </row>
    <row r="37" spans="1:13" s="30" customFormat="1">
      <c r="A37" s="142">
        <v>9</v>
      </c>
      <c r="B37" s="219" t="s">
        <v>381</v>
      </c>
      <c r="C37" s="219" t="s">
        <v>382</v>
      </c>
      <c r="D37" s="50" t="s">
        <v>238</v>
      </c>
      <c r="E37" s="57"/>
      <c r="F37" s="47">
        <f>F33</f>
        <v>87.4</v>
      </c>
      <c r="G37" s="56"/>
      <c r="H37" s="56"/>
      <c r="I37" s="56"/>
      <c r="J37" s="56"/>
      <c r="K37" s="56"/>
      <c r="L37" s="56"/>
      <c r="M37" s="56"/>
    </row>
    <row r="38" spans="1:13" s="30" customFormat="1">
      <c r="A38" s="142"/>
      <c r="B38" s="209" t="s">
        <v>116</v>
      </c>
      <c r="C38" s="209" t="s">
        <v>237</v>
      </c>
      <c r="D38" s="53" t="s">
        <v>238</v>
      </c>
      <c r="E38" s="58">
        <v>1</v>
      </c>
      <c r="F38" s="59">
        <f>E38*$F$37</f>
        <v>87.4</v>
      </c>
      <c r="G38" s="29"/>
      <c r="H38" s="29"/>
      <c r="I38" s="29"/>
      <c r="J38" s="24">
        <f>I38*F38</f>
        <v>0</v>
      </c>
      <c r="K38" s="29"/>
      <c r="L38" s="29"/>
      <c r="M38" s="24">
        <f>L38+J38+H38</f>
        <v>0</v>
      </c>
    </row>
    <row r="39" spans="1:13" s="30" customFormat="1">
      <c r="A39" s="142"/>
      <c r="B39" s="209" t="s">
        <v>293</v>
      </c>
      <c r="C39" s="209" t="s">
        <v>383</v>
      </c>
      <c r="D39" s="53" t="s">
        <v>292</v>
      </c>
      <c r="E39" s="58">
        <v>3.8300000000000001E-2</v>
      </c>
      <c r="F39" s="59">
        <f>E39*$F$37</f>
        <v>3.3474200000000001</v>
      </c>
      <c r="G39" s="29"/>
      <c r="H39" s="24">
        <f>G39*F39</f>
        <v>0</v>
      </c>
      <c r="I39" s="29"/>
      <c r="J39" s="29"/>
      <c r="K39" s="29"/>
      <c r="L39" s="29"/>
      <c r="M39" s="24">
        <f>L39+J39+H39</f>
        <v>0</v>
      </c>
    </row>
    <row r="40" spans="1:13" s="30" customFormat="1">
      <c r="A40" s="142"/>
      <c r="B40" s="209" t="s">
        <v>384</v>
      </c>
      <c r="C40" s="209" t="s">
        <v>385</v>
      </c>
      <c r="D40" s="53" t="s">
        <v>16</v>
      </c>
      <c r="E40" s="58">
        <v>1.02</v>
      </c>
      <c r="F40" s="59">
        <f>E40*$F$37</f>
        <v>89.14800000000001</v>
      </c>
      <c r="G40" s="29"/>
      <c r="H40" s="24">
        <f>G40*F40</f>
        <v>0</v>
      </c>
      <c r="I40" s="29"/>
      <c r="J40" s="24"/>
      <c r="K40" s="29"/>
      <c r="L40" s="29"/>
      <c r="M40" s="24">
        <f>L40+J40+H40</f>
        <v>0</v>
      </c>
    </row>
    <row r="41" spans="1:13" s="30" customFormat="1">
      <c r="A41" s="142"/>
      <c r="B41" s="209" t="s">
        <v>386</v>
      </c>
      <c r="C41" s="209" t="s">
        <v>387</v>
      </c>
      <c r="D41" s="53" t="s">
        <v>252</v>
      </c>
      <c r="E41" s="58">
        <v>3.4000000000000002E-2</v>
      </c>
      <c r="F41" s="59">
        <f>E41*$F$37</f>
        <v>2.9716000000000005</v>
      </c>
      <c r="G41" s="29"/>
      <c r="H41" s="24">
        <f>G41*F41</f>
        <v>0</v>
      </c>
      <c r="I41" s="29"/>
      <c r="J41" s="29"/>
      <c r="K41" s="29"/>
      <c r="L41" s="29"/>
      <c r="M41" s="24">
        <f>L41+J41+H41</f>
        <v>0</v>
      </c>
    </row>
    <row r="42" spans="1:13" s="30" customFormat="1">
      <c r="A42" s="142">
        <v>10</v>
      </c>
      <c r="B42" s="219" t="s">
        <v>388</v>
      </c>
      <c r="C42" s="219" t="s">
        <v>389</v>
      </c>
      <c r="D42" s="50" t="s">
        <v>238</v>
      </c>
      <c r="E42" s="57"/>
      <c r="F42" s="47">
        <f>F37</f>
        <v>87.4</v>
      </c>
      <c r="G42" s="56"/>
      <c r="H42" s="56"/>
      <c r="I42" s="56"/>
      <c r="J42" s="56"/>
      <c r="K42" s="56"/>
      <c r="L42" s="56"/>
      <c r="M42" s="56"/>
    </row>
    <row r="43" spans="1:13" s="30" customFormat="1">
      <c r="A43" s="142"/>
      <c r="B43" s="209" t="s">
        <v>116</v>
      </c>
      <c r="C43" s="209" t="s">
        <v>237</v>
      </c>
      <c r="D43" s="53" t="s">
        <v>238</v>
      </c>
      <c r="E43" s="58">
        <v>1</v>
      </c>
      <c r="F43" s="59">
        <f>E43*$F$42</f>
        <v>87.4</v>
      </c>
      <c r="G43" s="29"/>
      <c r="H43" s="29"/>
      <c r="I43" s="29"/>
      <c r="J43" s="24">
        <f>I43*F43</f>
        <v>0</v>
      </c>
      <c r="K43" s="29"/>
      <c r="L43" s="29"/>
      <c r="M43" s="24">
        <f>L43+J43+H43</f>
        <v>0</v>
      </c>
    </row>
    <row r="44" spans="1:13" s="30" customFormat="1">
      <c r="A44" s="142"/>
      <c r="B44" s="209" t="s">
        <v>388</v>
      </c>
      <c r="C44" s="209" t="s">
        <v>389</v>
      </c>
      <c r="D44" s="53" t="s">
        <v>238</v>
      </c>
      <c r="E44" s="58">
        <v>1.19</v>
      </c>
      <c r="F44" s="59">
        <f>E44*$F$42</f>
        <v>104.006</v>
      </c>
      <c r="G44" s="29"/>
      <c r="H44" s="24">
        <f>G44*F44</f>
        <v>0</v>
      </c>
      <c r="I44" s="29"/>
      <c r="J44" s="29"/>
      <c r="K44" s="29"/>
      <c r="L44" s="29"/>
      <c r="M44" s="24">
        <f>L44+J44+H44</f>
        <v>0</v>
      </c>
    </row>
    <row r="45" spans="1:13" s="30" customFormat="1">
      <c r="A45" s="142"/>
      <c r="B45" s="209" t="s">
        <v>119</v>
      </c>
      <c r="C45" s="209" t="s">
        <v>124</v>
      </c>
      <c r="D45" s="53" t="s">
        <v>333</v>
      </c>
      <c r="E45" s="58">
        <v>1.75</v>
      </c>
      <c r="F45" s="59">
        <f>E45*$F$42</f>
        <v>152.95000000000002</v>
      </c>
      <c r="G45" s="29"/>
      <c r="H45" s="24">
        <f>G45*F45</f>
        <v>0</v>
      </c>
      <c r="I45" s="29"/>
      <c r="J45" s="29"/>
      <c r="K45" s="29"/>
      <c r="L45" s="29"/>
      <c r="M45" s="24">
        <f>L45+J45+H45</f>
        <v>0</v>
      </c>
    </row>
    <row r="46" spans="1:13" s="30" customFormat="1" ht="24">
      <c r="A46" s="142">
        <v>11</v>
      </c>
      <c r="B46" s="219" t="s">
        <v>360</v>
      </c>
      <c r="C46" s="219" t="s">
        <v>357</v>
      </c>
      <c r="D46" s="50" t="s">
        <v>265</v>
      </c>
      <c r="E46" s="57"/>
      <c r="F46" s="47">
        <v>56</v>
      </c>
      <c r="G46" s="56"/>
      <c r="H46" s="56"/>
      <c r="I46" s="56"/>
      <c r="J46" s="56"/>
      <c r="K46" s="56"/>
      <c r="L46" s="56"/>
      <c r="M46" s="56"/>
    </row>
    <row r="47" spans="1:13" s="13" customFormat="1">
      <c r="A47" s="142"/>
      <c r="B47" s="209" t="s">
        <v>116</v>
      </c>
      <c r="C47" s="209" t="s">
        <v>237</v>
      </c>
      <c r="D47" s="50" t="s">
        <v>238</v>
      </c>
      <c r="E47" s="59">
        <v>1</v>
      </c>
      <c r="F47" s="59">
        <f>E47*F46</f>
        <v>56</v>
      </c>
      <c r="G47" s="21"/>
      <c r="H47" s="21"/>
      <c r="I47" s="21"/>
      <c r="J47" s="24">
        <f>I47*F47</f>
        <v>0</v>
      </c>
      <c r="K47" s="21"/>
      <c r="L47" s="21"/>
      <c r="M47" s="24">
        <f>L47+J47+H47</f>
        <v>0</v>
      </c>
    </row>
    <row r="48" spans="1:13" s="13" customFormat="1" ht="24">
      <c r="A48" s="142"/>
      <c r="B48" s="209" t="s">
        <v>356</v>
      </c>
      <c r="C48" s="209" t="s">
        <v>357</v>
      </c>
      <c r="D48" s="53" t="s">
        <v>238</v>
      </c>
      <c r="E48" s="60">
        <v>0.42</v>
      </c>
      <c r="F48" s="59">
        <f>E48*F46</f>
        <v>23.52</v>
      </c>
      <c r="G48" s="21"/>
      <c r="H48" s="24">
        <f>G48*F48</f>
        <v>0</v>
      </c>
      <c r="I48" s="21"/>
      <c r="J48" s="21"/>
      <c r="K48" s="21"/>
      <c r="L48" s="21"/>
      <c r="M48" s="24">
        <f>L48+J48+H48</f>
        <v>0</v>
      </c>
    </row>
    <row r="49" spans="1:13" s="13" customFormat="1">
      <c r="A49" s="142"/>
      <c r="B49" s="209" t="s">
        <v>250</v>
      </c>
      <c r="C49" s="209" t="s">
        <v>251</v>
      </c>
      <c r="D49" s="53" t="s">
        <v>252</v>
      </c>
      <c r="E49" s="59">
        <v>1</v>
      </c>
      <c r="F49" s="59">
        <f>E49*F46</f>
        <v>56</v>
      </c>
      <c r="G49" s="21"/>
      <c r="H49" s="24">
        <f>G49*F49</f>
        <v>0</v>
      </c>
      <c r="I49" s="21"/>
      <c r="J49" s="21"/>
      <c r="K49" s="21"/>
      <c r="L49" s="21"/>
      <c r="M49" s="24">
        <f>L49+J49+H49</f>
        <v>0</v>
      </c>
    </row>
    <row r="50" spans="1:13" s="20" customFormat="1" ht="19.95" customHeight="1">
      <c r="A50" s="14"/>
      <c r="B50" s="180" t="s">
        <v>51</v>
      </c>
      <c r="C50" s="181" t="s">
        <v>53</v>
      </c>
      <c r="D50" s="169"/>
      <c r="E50" s="49"/>
      <c r="F50" s="49"/>
      <c r="G50" s="8"/>
      <c r="H50" s="8"/>
      <c r="I50" s="8"/>
      <c r="J50" s="8"/>
      <c r="K50" s="8"/>
      <c r="L50" s="8"/>
      <c r="M50" s="31"/>
    </row>
    <row r="51" spans="1:13" s="13" customFormat="1" ht="16.95" customHeight="1">
      <c r="A51" s="142"/>
      <c r="B51" s="221" t="s">
        <v>363</v>
      </c>
      <c r="C51" s="221" t="s">
        <v>364</v>
      </c>
      <c r="D51" s="50"/>
      <c r="E51" s="59"/>
      <c r="F51" s="59"/>
      <c r="G51" s="35"/>
      <c r="H51" s="35"/>
      <c r="I51" s="35"/>
      <c r="J51" s="35"/>
      <c r="K51" s="35"/>
      <c r="L51" s="35"/>
      <c r="M51" s="35"/>
    </row>
    <row r="52" spans="1:13" s="30" customFormat="1">
      <c r="A52" s="142">
        <v>12</v>
      </c>
      <c r="B52" s="219" t="s">
        <v>322</v>
      </c>
      <c r="C52" s="219" t="s">
        <v>323</v>
      </c>
      <c r="D52" s="50" t="s">
        <v>238</v>
      </c>
      <c r="E52" s="57"/>
      <c r="F52" s="47">
        <v>257.25</v>
      </c>
      <c r="G52" s="26"/>
      <c r="H52" s="26"/>
      <c r="I52" s="26"/>
      <c r="J52" s="26"/>
      <c r="K52" s="26"/>
      <c r="L52" s="26"/>
      <c r="M52" s="26"/>
    </row>
    <row r="53" spans="1:13" s="30" customFormat="1">
      <c r="A53" s="142"/>
      <c r="B53" s="209" t="s">
        <v>116</v>
      </c>
      <c r="C53" s="209" t="s">
        <v>237</v>
      </c>
      <c r="D53" s="53" t="s">
        <v>238</v>
      </c>
      <c r="E53" s="58">
        <v>1</v>
      </c>
      <c r="F53" s="59">
        <f>E53*F52</f>
        <v>257.25</v>
      </c>
      <c r="G53" s="29"/>
      <c r="H53" s="29"/>
      <c r="I53" s="29"/>
      <c r="J53" s="24">
        <f>I53*F53</f>
        <v>0</v>
      </c>
      <c r="K53" s="29"/>
      <c r="L53" s="29"/>
      <c r="M53" s="24">
        <f>L53+J53+H53</f>
        <v>0</v>
      </c>
    </row>
    <row r="54" spans="1:13" s="30" customFormat="1">
      <c r="A54" s="142"/>
      <c r="B54" s="209" t="s">
        <v>322</v>
      </c>
      <c r="C54" s="209" t="s">
        <v>323</v>
      </c>
      <c r="D54" s="53" t="s">
        <v>238</v>
      </c>
      <c r="E54" s="58">
        <v>1.05</v>
      </c>
      <c r="F54" s="59">
        <f>E54*F52</f>
        <v>270.11250000000001</v>
      </c>
      <c r="G54" s="29"/>
      <c r="H54" s="24">
        <f>G54*F54</f>
        <v>0</v>
      </c>
      <c r="I54" s="29"/>
      <c r="J54" s="29"/>
      <c r="K54" s="29"/>
      <c r="L54" s="29"/>
      <c r="M54" s="24">
        <f>L54+J54+H54</f>
        <v>0</v>
      </c>
    </row>
    <row r="55" spans="1:13" s="30" customFormat="1">
      <c r="A55" s="142">
        <v>13</v>
      </c>
      <c r="B55" s="219" t="s">
        <v>365</v>
      </c>
      <c r="C55" s="219" t="s">
        <v>366</v>
      </c>
      <c r="D55" s="50" t="s">
        <v>238</v>
      </c>
      <c r="E55" s="57"/>
      <c r="F55" s="47">
        <f>F52</f>
        <v>257.25</v>
      </c>
      <c r="G55" s="56"/>
      <c r="H55" s="56"/>
      <c r="I55" s="56"/>
      <c r="J55" s="56"/>
      <c r="K55" s="56"/>
      <c r="L55" s="56"/>
      <c r="M55" s="56"/>
    </row>
    <row r="56" spans="1:13" s="30" customFormat="1">
      <c r="A56" s="142"/>
      <c r="B56" s="209" t="s">
        <v>116</v>
      </c>
      <c r="C56" s="209" t="s">
        <v>237</v>
      </c>
      <c r="D56" s="53" t="s">
        <v>238</v>
      </c>
      <c r="E56" s="58">
        <v>1</v>
      </c>
      <c r="F56" s="59">
        <f>E56*F55</f>
        <v>257.25</v>
      </c>
      <c r="G56" s="29"/>
      <c r="H56" s="29"/>
      <c r="I56" s="29"/>
      <c r="J56" s="24">
        <f>I56*F56</f>
        <v>0</v>
      </c>
      <c r="K56" s="29"/>
      <c r="L56" s="29"/>
      <c r="M56" s="24">
        <f>L56+J56+H56</f>
        <v>0</v>
      </c>
    </row>
    <row r="57" spans="1:13" s="30" customFormat="1">
      <c r="A57" s="142"/>
      <c r="B57" s="209" t="s">
        <v>365</v>
      </c>
      <c r="C57" s="209" t="s">
        <v>366</v>
      </c>
      <c r="D57" s="53" t="s">
        <v>238</v>
      </c>
      <c r="E57" s="58">
        <v>1.1000000000000001</v>
      </c>
      <c r="F57" s="59">
        <f>E57*F55</f>
        <v>282.97500000000002</v>
      </c>
      <c r="G57" s="29"/>
      <c r="H57" s="24">
        <f>G57*F57</f>
        <v>0</v>
      </c>
      <c r="I57" s="29"/>
      <c r="J57" s="29"/>
      <c r="K57" s="29"/>
      <c r="L57" s="29"/>
      <c r="M57" s="24">
        <f>L57+J57+H57</f>
        <v>0</v>
      </c>
    </row>
    <row r="58" spans="1:13" s="30" customFormat="1" ht="24">
      <c r="A58" s="142">
        <v>14</v>
      </c>
      <c r="B58" s="219" t="s">
        <v>346</v>
      </c>
      <c r="C58" s="219" t="s">
        <v>347</v>
      </c>
      <c r="D58" s="50" t="s">
        <v>238</v>
      </c>
      <c r="E58" s="57"/>
      <c r="F58" s="47">
        <f>F52</f>
        <v>257.25</v>
      </c>
      <c r="G58" s="56"/>
      <c r="H58" s="56"/>
      <c r="I58" s="56"/>
      <c r="J58" s="56"/>
      <c r="K58" s="56"/>
      <c r="L58" s="56"/>
      <c r="M58" s="56"/>
    </row>
    <row r="59" spans="1:13">
      <c r="A59" s="25"/>
      <c r="B59" s="209" t="s">
        <v>116</v>
      </c>
      <c r="C59" s="209" t="s">
        <v>237</v>
      </c>
      <c r="D59" s="53" t="s">
        <v>238</v>
      </c>
      <c r="E59" s="58">
        <v>1</v>
      </c>
      <c r="F59" s="59">
        <f>E59*$F$58</f>
        <v>257.25</v>
      </c>
      <c r="G59" s="24"/>
      <c r="H59" s="24"/>
      <c r="I59" s="24"/>
      <c r="J59" s="24">
        <f>I59*F59</f>
        <v>0</v>
      </c>
      <c r="K59" s="24"/>
      <c r="L59" s="24"/>
      <c r="M59" s="24">
        <f t="shared" ref="M59:M64" si="0">L59+J59+H59</f>
        <v>0</v>
      </c>
    </row>
    <row r="60" spans="1:13">
      <c r="A60" s="25"/>
      <c r="B60" s="209" t="s">
        <v>350</v>
      </c>
      <c r="C60" s="209" t="s">
        <v>351</v>
      </c>
      <c r="D60" s="53" t="s">
        <v>238</v>
      </c>
      <c r="E60" s="58">
        <v>1.05</v>
      </c>
      <c r="F60" s="59">
        <f>E60*$F$58</f>
        <v>270.11250000000001</v>
      </c>
      <c r="G60" s="24"/>
      <c r="H60" s="24">
        <f>G60*F60</f>
        <v>0</v>
      </c>
      <c r="I60" s="24"/>
      <c r="J60" s="24">
        <f>I60*F60</f>
        <v>0</v>
      </c>
      <c r="K60" s="24"/>
      <c r="L60" s="24"/>
      <c r="M60" s="24">
        <f t="shared" si="0"/>
        <v>0</v>
      </c>
    </row>
    <row r="61" spans="1:13">
      <c r="A61" s="25"/>
      <c r="B61" s="209" t="s">
        <v>250</v>
      </c>
      <c r="C61" s="209" t="s">
        <v>251</v>
      </c>
      <c r="D61" s="210" t="s">
        <v>252</v>
      </c>
      <c r="E61" s="58">
        <v>1</v>
      </c>
      <c r="F61" s="59">
        <f>E61*$F$58</f>
        <v>257.25</v>
      </c>
      <c r="G61" s="24"/>
      <c r="H61" s="24">
        <f>G61*F61</f>
        <v>0</v>
      </c>
      <c r="I61" s="24"/>
      <c r="J61" s="24">
        <f>I61*F61</f>
        <v>0</v>
      </c>
      <c r="K61" s="24"/>
      <c r="L61" s="24"/>
      <c r="M61" s="24">
        <f t="shared" si="0"/>
        <v>0</v>
      </c>
    </row>
    <row r="62" spans="1:13" s="30" customFormat="1" ht="24">
      <c r="A62" s="142">
        <v>15</v>
      </c>
      <c r="B62" s="219" t="s">
        <v>367</v>
      </c>
      <c r="C62" s="219" t="s">
        <v>368</v>
      </c>
      <c r="D62" s="50" t="s">
        <v>238</v>
      </c>
      <c r="E62" s="57"/>
      <c r="F62" s="47">
        <f>F58</f>
        <v>257.25</v>
      </c>
      <c r="G62" s="56"/>
      <c r="H62" s="56"/>
      <c r="I62" s="56"/>
      <c r="J62" s="56"/>
      <c r="K62" s="56"/>
      <c r="L62" s="56"/>
      <c r="M62" s="56"/>
    </row>
    <row r="63" spans="1:13" s="30" customFormat="1">
      <c r="A63" s="142"/>
      <c r="B63" s="209" t="s">
        <v>116</v>
      </c>
      <c r="C63" s="209" t="s">
        <v>237</v>
      </c>
      <c r="D63" s="53" t="s">
        <v>238</v>
      </c>
      <c r="E63" s="58">
        <v>1</v>
      </c>
      <c r="F63" s="59">
        <f>E63*F62</f>
        <v>257.25</v>
      </c>
      <c r="G63" s="29"/>
      <c r="H63" s="29"/>
      <c r="I63" s="29"/>
      <c r="J63" s="24">
        <f>I63*F63</f>
        <v>0</v>
      </c>
      <c r="K63" s="29"/>
      <c r="L63" s="29"/>
      <c r="M63" s="24">
        <f t="shared" si="0"/>
        <v>0</v>
      </c>
    </row>
    <row r="64" spans="1:13" s="30" customFormat="1">
      <c r="A64" s="142"/>
      <c r="B64" s="209" t="s">
        <v>369</v>
      </c>
      <c r="C64" s="209" t="s">
        <v>368</v>
      </c>
      <c r="D64" s="53" t="s">
        <v>238</v>
      </c>
      <c r="E64" s="58">
        <v>1.1000000000000001</v>
      </c>
      <c r="F64" s="59">
        <f>E64*F62</f>
        <v>282.97500000000002</v>
      </c>
      <c r="G64" s="29"/>
      <c r="H64" s="24">
        <f>G64*F64</f>
        <v>0</v>
      </c>
      <c r="I64" s="29"/>
      <c r="J64" s="29"/>
      <c r="K64" s="29"/>
      <c r="L64" s="29"/>
      <c r="M64" s="24">
        <f t="shared" si="0"/>
        <v>0</v>
      </c>
    </row>
    <row r="65" spans="1:13" s="30" customFormat="1">
      <c r="A65" s="142">
        <v>16</v>
      </c>
      <c r="B65" s="219" t="s">
        <v>370</v>
      </c>
      <c r="C65" s="219" t="s">
        <v>371</v>
      </c>
      <c r="D65" s="50" t="s">
        <v>238</v>
      </c>
      <c r="E65" s="57"/>
      <c r="F65" s="47">
        <f>F62</f>
        <v>257.25</v>
      </c>
      <c r="G65" s="56"/>
      <c r="H65" s="56"/>
      <c r="I65" s="56"/>
      <c r="J65" s="56"/>
      <c r="K65" s="56"/>
      <c r="L65" s="56"/>
      <c r="M65" s="56"/>
    </row>
    <row r="66" spans="1:13" s="30" customFormat="1">
      <c r="A66" s="142"/>
      <c r="B66" s="209" t="s">
        <v>116</v>
      </c>
      <c r="C66" s="209" t="s">
        <v>237</v>
      </c>
      <c r="D66" s="53" t="s">
        <v>238</v>
      </c>
      <c r="E66" s="58">
        <v>1</v>
      </c>
      <c r="F66" s="59">
        <f>E66*F65</f>
        <v>257.25</v>
      </c>
      <c r="G66" s="29"/>
      <c r="H66" s="29"/>
      <c r="I66" s="29"/>
      <c r="J66" s="24">
        <f>I66*F66</f>
        <v>0</v>
      </c>
      <c r="K66" s="29"/>
      <c r="L66" s="29"/>
      <c r="M66" s="24">
        <f>L66+J66+H66</f>
        <v>0</v>
      </c>
    </row>
    <row r="67" spans="1:13" s="30" customFormat="1">
      <c r="A67" s="142"/>
      <c r="B67" s="209" t="s">
        <v>370</v>
      </c>
      <c r="C67" s="209" t="s">
        <v>372</v>
      </c>
      <c r="D67" s="53" t="s">
        <v>238</v>
      </c>
      <c r="E67" s="58">
        <v>1.1000000000000001</v>
      </c>
      <c r="F67" s="59">
        <f>E67*F65</f>
        <v>282.97500000000002</v>
      </c>
      <c r="G67" s="29"/>
      <c r="H67" s="24">
        <f>G67*F67</f>
        <v>0</v>
      </c>
      <c r="I67" s="29"/>
      <c r="J67" s="29"/>
      <c r="K67" s="29"/>
      <c r="L67" s="29"/>
      <c r="M67" s="24">
        <f>L67+J67+H67</f>
        <v>0</v>
      </c>
    </row>
    <row r="68" spans="1:13" s="30" customFormat="1">
      <c r="A68" s="142">
        <v>17</v>
      </c>
      <c r="B68" s="219" t="s">
        <v>373</v>
      </c>
      <c r="C68" s="219" t="s">
        <v>374</v>
      </c>
      <c r="D68" s="50" t="s">
        <v>238</v>
      </c>
      <c r="E68" s="57"/>
      <c r="F68" s="47">
        <f>F65</f>
        <v>257.25</v>
      </c>
      <c r="G68" s="56"/>
      <c r="H68" s="56"/>
      <c r="I68" s="56"/>
      <c r="J68" s="56"/>
      <c r="K68" s="56"/>
      <c r="L68" s="56"/>
      <c r="M68" s="56"/>
    </row>
    <row r="69" spans="1:13" s="30" customFormat="1">
      <c r="A69" s="142"/>
      <c r="B69" s="209" t="s">
        <v>116</v>
      </c>
      <c r="C69" s="209" t="s">
        <v>237</v>
      </c>
      <c r="D69" s="53" t="s">
        <v>238</v>
      </c>
      <c r="E69" s="58">
        <v>1</v>
      </c>
      <c r="F69" s="59">
        <f>E69*F68</f>
        <v>257.25</v>
      </c>
      <c r="G69" s="29"/>
      <c r="H69" s="29"/>
      <c r="I69" s="29"/>
      <c r="J69" s="24">
        <f>I69*F69</f>
        <v>0</v>
      </c>
      <c r="K69" s="29"/>
      <c r="L69" s="29"/>
      <c r="M69" s="24">
        <f>L69+J69+H69</f>
        <v>0</v>
      </c>
    </row>
    <row r="70" spans="1:13" s="30" customFormat="1">
      <c r="A70" s="142"/>
      <c r="B70" s="209" t="s">
        <v>373</v>
      </c>
      <c r="C70" s="209" t="s">
        <v>374</v>
      </c>
      <c r="D70" s="53" t="s">
        <v>333</v>
      </c>
      <c r="E70" s="58">
        <v>1.2</v>
      </c>
      <c r="F70" s="59">
        <f>E70*F68</f>
        <v>308.7</v>
      </c>
      <c r="G70" s="29"/>
      <c r="H70" s="24">
        <f>G70*F70</f>
        <v>0</v>
      </c>
      <c r="I70" s="29"/>
      <c r="J70" s="29"/>
      <c r="K70" s="29"/>
      <c r="L70" s="29"/>
      <c r="M70" s="24">
        <f>L70+J70+H70</f>
        <v>0</v>
      </c>
    </row>
    <row r="71" spans="1:13" s="30" customFormat="1">
      <c r="A71" s="142">
        <v>18</v>
      </c>
      <c r="B71" s="220" t="s">
        <v>399</v>
      </c>
      <c r="C71" s="220" t="s">
        <v>400</v>
      </c>
      <c r="D71" s="50" t="s">
        <v>238</v>
      </c>
      <c r="E71" s="57"/>
      <c r="F71" s="47">
        <f>115*0.5</f>
        <v>57.5</v>
      </c>
      <c r="G71" s="56"/>
      <c r="H71" s="56"/>
      <c r="I71" s="56"/>
      <c r="J71" s="56"/>
      <c r="K71" s="56"/>
      <c r="L71" s="56"/>
      <c r="M71" s="56"/>
    </row>
    <row r="72" spans="1:13" s="30" customFormat="1">
      <c r="A72" s="142"/>
      <c r="B72" s="214" t="s">
        <v>116</v>
      </c>
      <c r="C72" s="214" t="s">
        <v>237</v>
      </c>
      <c r="D72" s="53" t="s">
        <v>238</v>
      </c>
      <c r="E72" s="58">
        <v>1</v>
      </c>
      <c r="F72" s="59">
        <f>E72*F71</f>
        <v>57.5</v>
      </c>
      <c r="G72" s="29"/>
      <c r="H72" s="29"/>
      <c r="I72" s="29"/>
      <c r="J72" s="24">
        <f>I72*F72</f>
        <v>0</v>
      </c>
      <c r="K72" s="29"/>
      <c r="L72" s="29"/>
      <c r="M72" s="24">
        <f>L72+J72+H72</f>
        <v>0</v>
      </c>
    </row>
    <row r="73" spans="1:13">
      <c r="A73" s="22"/>
      <c r="B73" s="214" t="s">
        <v>337</v>
      </c>
      <c r="C73" s="214" t="s">
        <v>338</v>
      </c>
      <c r="D73" s="217" t="s">
        <v>292</v>
      </c>
      <c r="E73" s="58">
        <v>0.02</v>
      </c>
      <c r="F73" s="59">
        <f>E73*$F$71</f>
        <v>1.1500000000000001</v>
      </c>
      <c r="G73" s="24"/>
      <c r="H73" s="24">
        <f>G73*F73</f>
        <v>0</v>
      </c>
      <c r="I73" s="24"/>
      <c r="J73" s="24"/>
      <c r="K73" s="24"/>
      <c r="L73" s="24"/>
      <c r="M73" s="24">
        <f>L73+J73+H73</f>
        <v>0</v>
      </c>
    </row>
    <row r="74" spans="1:13">
      <c r="A74" s="22"/>
      <c r="B74" s="214" t="s">
        <v>250</v>
      </c>
      <c r="C74" s="214" t="s">
        <v>251</v>
      </c>
      <c r="D74" s="210" t="s">
        <v>252</v>
      </c>
      <c r="E74" s="58">
        <v>1</v>
      </c>
      <c r="F74" s="59">
        <f>E74*$F$71</f>
        <v>57.5</v>
      </c>
      <c r="G74" s="24"/>
      <c r="H74" s="24">
        <f>G74*F74</f>
        <v>0</v>
      </c>
      <c r="I74" s="24"/>
      <c r="J74" s="24"/>
      <c r="K74" s="24"/>
      <c r="L74" s="24"/>
      <c r="M74" s="24">
        <f>L74+J74+H74</f>
        <v>0</v>
      </c>
    </row>
    <row r="75" spans="1:13">
      <c r="A75" s="25"/>
      <c r="B75" s="221" t="s">
        <v>375</v>
      </c>
      <c r="C75" s="221" t="s">
        <v>376</v>
      </c>
      <c r="D75" s="210"/>
      <c r="E75" s="58"/>
      <c r="F75" s="59"/>
      <c r="G75" s="29"/>
      <c r="H75" s="29"/>
      <c r="I75" s="29"/>
      <c r="J75" s="29"/>
      <c r="K75" s="29"/>
      <c r="L75" s="29"/>
      <c r="M75" s="29"/>
    </row>
    <row r="76" spans="1:13" s="30" customFormat="1" ht="24">
      <c r="A76" s="142">
        <v>19</v>
      </c>
      <c r="B76" s="219" t="s">
        <v>377</v>
      </c>
      <c r="C76" s="219" t="s">
        <v>378</v>
      </c>
      <c r="D76" s="50" t="s">
        <v>16</v>
      </c>
      <c r="E76" s="57"/>
      <c r="F76" s="47">
        <v>92.6</v>
      </c>
      <c r="G76" s="56"/>
      <c r="H76" s="56"/>
      <c r="I76" s="56"/>
      <c r="J76" s="56"/>
      <c r="K76" s="56"/>
      <c r="L76" s="56"/>
      <c r="M76" s="56"/>
    </row>
    <row r="77" spans="1:13" s="30" customFormat="1">
      <c r="A77" s="142"/>
      <c r="B77" s="209" t="s">
        <v>116</v>
      </c>
      <c r="C77" s="209" t="s">
        <v>237</v>
      </c>
      <c r="D77" s="53" t="s">
        <v>16</v>
      </c>
      <c r="E77" s="58">
        <v>1</v>
      </c>
      <c r="F77" s="59">
        <f>E77*$F$76</f>
        <v>92.6</v>
      </c>
      <c r="G77" s="29"/>
      <c r="H77" s="29"/>
      <c r="I77" s="29"/>
      <c r="J77" s="24">
        <f>I77*F77</f>
        <v>0</v>
      </c>
      <c r="K77" s="29"/>
      <c r="L77" s="29"/>
      <c r="M77" s="24">
        <f>L77+J77+H77</f>
        <v>0</v>
      </c>
    </row>
    <row r="78" spans="1:13" s="30" customFormat="1">
      <c r="A78" s="142"/>
      <c r="B78" s="209" t="s">
        <v>379</v>
      </c>
      <c r="C78" s="209" t="s">
        <v>380</v>
      </c>
      <c r="D78" s="53" t="s">
        <v>16</v>
      </c>
      <c r="E78" s="58">
        <v>1.02</v>
      </c>
      <c r="F78" s="59">
        <f>E78*$F$76</f>
        <v>94.451999999999998</v>
      </c>
      <c r="G78" s="29"/>
      <c r="H78" s="24">
        <f>G78*F78</f>
        <v>0</v>
      </c>
      <c r="I78" s="29"/>
      <c r="J78" s="24"/>
      <c r="K78" s="29"/>
      <c r="L78" s="29"/>
      <c r="M78" s="24">
        <f>L78+J78+H78</f>
        <v>0</v>
      </c>
    </row>
    <row r="79" spans="1:13" s="30" customFormat="1">
      <c r="A79" s="142"/>
      <c r="B79" s="209" t="s">
        <v>250</v>
      </c>
      <c r="C79" s="209" t="s">
        <v>251</v>
      </c>
      <c r="D79" s="53" t="s">
        <v>40</v>
      </c>
      <c r="E79" s="58">
        <v>1</v>
      </c>
      <c r="F79" s="59">
        <f>E79*$F$76</f>
        <v>92.6</v>
      </c>
      <c r="G79" s="29"/>
      <c r="H79" s="24">
        <f>G79*F79</f>
        <v>0</v>
      </c>
      <c r="I79" s="29"/>
      <c r="J79" s="24"/>
      <c r="K79" s="29"/>
      <c r="L79" s="29"/>
      <c r="M79" s="24">
        <f>L79+J79+H79</f>
        <v>0</v>
      </c>
    </row>
    <row r="80" spans="1:13" s="30" customFormat="1">
      <c r="A80" s="142">
        <v>20</v>
      </c>
      <c r="B80" s="219" t="s">
        <v>381</v>
      </c>
      <c r="C80" s="219" t="s">
        <v>382</v>
      </c>
      <c r="D80" s="50" t="s">
        <v>238</v>
      </c>
      <c r="E80" s="57"/>
      <c r="F80" s="47">
        <f>F76</f>
        <v>92.6</v>
      </c>
      <c r="G80" s="56"/>
      <c r="H80" s="56"/>
      <c r="I80" s="56"/>
      <c r="J80" s="56"/>
      <c r="K80" s="56"/>
      <c r="L80" s="56"/>
      <c r="M80" s="56"/>
    </row>
    <row r="81" spans="1:13" s="30" customFormat="1">
      <c r="A81" s="142"/>
      <c r="B81" s="209" t="s">
        <v>116</v>
      </c>
      <c r="C81" s="209" t="s">
        <v>237</v>
      </c>
      <c r="D81" s="53" t="s">
        <v>238</v>
      </c>
      <c r="E81" s="58">
        <v>1</v>
      </c>
      <c r="F81" s="59">
        <f>E81*$F$80</f>
        <v>92.6</v>
      </c>
      <c r="G81" s="29"/>
      <c r="H81" s="29"/>
      <c r="I81" s="29"/>
      <c r="J81" s="24">
        <f>I81*F81</f>
        <v>0</v>
      </c>
      <c r="K81" s="29"/>
      <c r="L81" s="29"/>
      <c r="M81" s="24">
        <f>L81+J81+H81</f>
        <v>0</v>
      </c>
    </row>
    <row r="82" spans="1:13" s="30" customFormat="1">
      <c r="A82" s="142"/>
      <c r="B82" s="209" t="s">
        <v>293</v>
      </c>
      <c r="C82" s="209" t="s">
        <v>383</v>
      </c>
      <c r="D82" s="53" t="s">
        <v>292</v>
      </c>
      <c r="E82" s="58">
        <v>3.8300000000000001E-2</v>
      </c>
      <c r="F82" s="59">
        <f>E82*$F$80</f>
        <v>3.5465800000000001</v>
      </c>
      <c r="G82" s="29"/>
      <c r="H82" s="24">
        <f>G82*F82</f>
        <v>0</v>
      </c>
      <c r="I82" s="29"/>
      <c r="J82" s="29"/>
      <c r="K82" s="29"/>
      <c r="L82" s="29"/>
      <c r="M82" s="24">
        <f>L82+J82+H82</f>
        <v>0</v>
      </c>
    </row>
    <row r="83" spans="1:13" s="30" customFormat="1">
      <c r="A83" s="142"/>
      <c r="B83" s="209" t="s">
        <v>386</v>
      </c>
      <c r="C83" s="209" t="s">
        <v>387</v>
      </c>
      <c r="D83" s="53" t="s">
        <v>252</v>
      </c>
      <c r="E83" s="58">
        <v>3.4000000000000002E-2</v>
      </c>
      <c r="F83" s="59">
        <f>E83*$F$80</f>
        <v>3.1484000000000001</v>
      </c>
      <c r="G83" s="29"/>
      <c r="H83" s="24">
        <f>G83*F83</f>
        <v>0</v>
      </c>
      <c r="I83" s="29"/>
      <c r="J83" s="29"/>
      <c r="K83" s="29"/>
      <c r="L83" s="29"/>
      <c r="M83" s="24">
        <f>L83+J83+H83</f>
        <v>0</v>
      </c>
    </row>
    <row r="84" spans="1:13" s="30" customFormat="1">
      <c r="A84" s="142">
        <v>21</v>
      </c>
      <c r="B84" s="219" t="s">
        <v>388</v>
      </c>
      <c r="C84" s="219" t="s">
        <v>389</v>
      </c>
      <c r="D84" s="50" t="s">
        <v>238</v>
      </c>
      <c r="E84" s="57"/>
      <c r="F84" s="47">
        <f>F80</f>
        <v>92.6</v>
      </c>
      <c r="G84" s="56"/>
      <c r="H84" s="56"/>
      <c r="I84" s="56"/>
      <c r="J84" s="56"/>
      <c r="K84" s="56"/>
      <c r="L84" s="56"/>
      <c r="M84" s="56"/>
    </row>
    <row r="85" spans="1:13" s="30" customFormat="1">
      <c r="A85" s="142"/>
      <c r="B85" s="209" t="s">
        <v>116</v>
      </c>
      <c r="C85" s="209" t="s">
        <v>237</v>
      </c>
      <c r="D85" s="53" t="s">
        <v>238</v>
      </c>
      <c r="E85" s="58">
        <v>1</v>
      </c>
      <c r="F85" s="59">
        <f>E85*$F$84</f>
        <v>92.6</v>
      </c>
      <c r="G85" s="29"/>
      <c r="H85" s="29"/>
      <c r="I85" s="29"/>
      <c r="J85" s="24">
        <f>I85*F85</f>
        <v>0</v>
      </c>
      <c r="K85" s="29"/>
      <c r="L85" s="29"/>
      <c r="M85" s="24">
        <f>L85+J85+H85</f>
        <v>0</v>
      </c>
    </row>
    <row r="86" spans="1:13" s="30" customFormat="1">
      <c r="A86" s="142"/>
      <c r="B86" s="209" t="s">
        <v>388</v>
      </c>
      <c r="C86" s="209" t="s">
        <v>389</v>
      </c>
      <c r="D86" s="53" t="s">
        <v>238</v>
      </c>
      <c r="E86" s="58">
        <v>1.19</v>
      </c>
      <c r="F86" s="59">
        <f>E86*$F$84</f>
        <v>110.19399999999999</v>
      </c>
      <c r="G86" s="29"/>
      <c r="H86" s="24">
        <f>G86*F86</f>
        <v>0</v>
      </c>
      <c r="I86" s="29"/>
      <c r="J86" s="29"/>
      <c r="K86" s="29"/>
      <c r="L86" s="29"/>
      <c r="M86" s="24">
        <f>L86+J86+H86</f>
        <v>0</v>
      </c>
    </row>
    <row r="87" spans="1:13" s="30" customFormat="1">
      <c r="A87" s="142"/>
      <c r="B87" s="209" t="s">
        <v>119</v>
      </c>
      <c r="C87" s="209" t="s">
        <v>124</v>
      </c>
      <c r="D87" s="53" t="s">
        <v>333</v>
      </c>
      <c r="E87" s="58">
        <v>1.75</v>
      </c>
      <c r="F87" s="59">
        <f>E87*$F$84</f>
        <v>162.04999999999998</v>
      </c>
      <c r="G87" s="29"/>
      <c r="H87" s="24">
        <f>G87*F87</f>
        <v>0</v>
      </c>
      <c r="I87" s="29"/>
      <c r="J87" s="29"/>
      <c r="K87" s="29"/>
      <c r="L87" s="29"/>
      <c r="M87" s="24">
        <f>L87+J87+H87</f>
        <v>0</v>
      </c>
    </row>
    <row r="88" spans="1:13" s="30" customFormat="1" ht="24">
      <c r="A88" s="142">
        <v>22</v>
      </c>
      <c r="B88" s="219" t="s">
        <v>360</v>
      </c>
      <c r="C88" s="219" t="s">
        <v>357</v>
      </c>
      <c r="D88" s="50" t="s">
        <v>265</v>
      </c>
      <c r="E88" s="57"/>
      <c r="F88" s="47">
        <v>60</v>
      </c>
      <c r="G88" s="56"/>
      <c r="H88" s="56"/>
      <c r="I88" s="56"/>
      <c r="J88" s="56"/>
      <c r="K88" s="56"/>
      <c r="L88" s="56"/>
      <c r="M88" s="56"/>
    </row>
    <row r="89" spans="1:13" s="13" customFormat="1">
      <c r="A89" s="142"/>
      <c r="B89" s="209" t="s">
        <v>116</v>
      </c>
      <c r="C89" s="209" t="s">
        <v>237</v>
      </c>
      <c r="D89" s="50" t="s">
        <v>238</v>
      </c>
      <c r="E89" s="59">
        <v>1</v>
      </c>
      <c r="F89" s="59">
        <f>E89*F88</f>
        <v>60</v>
      </c>
      <c r="G89" s="21"/>
      <c r="H89" s="21"/>
      <c r="I89" s="21"/>
      <c r="J89" s="24">
        <f>I89*F89</f>
        <v>0</v>
      </c>
      <c r="K89" s="21"/>
      <c r="L89" s="21"/>
      <c r="M89" s="24">
        <f>L89+J89+H89</f>
        <v>0</v>
      </c>
    </row>
    <row r="90" spans="1:13" s="13" customFormat="1" ht="24">
      <c r="A90" s="142"/>
      <c r="B90" s="209" t="s">
        <v>356</v>
      </c>
      <c r="C90" s="209" t="s">
        <v>357</v>
      </c>
      <c r="D90" s="53" t="s">
        <v>238</v>
      </c>
      <c r="E90" s="60">
        <v>0.42</v>
      </c>
      <c r="F90" s="59">
        <f>E90*F88</f>
        <v>25.2</v>
      </c>
      <c r="G90" s="21"/>
      <c r="H90" s="24">
        <f>G90*F90</f>
        <v>0</v>
      </c>
      <c r="I90" s="21"/>
      <c r="J90" s="21"/>
      <c r="K90" s="21"/>
      <c r="L90" s="21"/>
      <c r="M90" s="24">
        <f>L90+J90+H90</f>
        <v>0</v>
      </c>
    </row>
    <row r="91" spans="1:13" s="13" customFormat="1">
      <c r="A91" s="142"/>
      <c r="B91" s="209" t="s">
        <v>250</v>
      </c>
      <c r="C91" s="209" t="s">
        <v>251</v>
      </c>
      <c r="D91" s="53" t="s">
        <v>252</v>
      </c>
      <c r="E91" s="59">
        <v>1</v>
      </c>
      <c r="F91" s="59">
        <f>E91*F88</f>
        <v>60</v>
      </c>
      <c r="G91" s="21"/>
      <c r="H91" s="24">
        <f>G91*F91</f>
        <v>0</v>
      </c>
      <c r="I91" s="21"/>
      <c r="J91" s="21"/>
      <c r="K91" s="21"/>
      <c r="L91" s="21"/>
      <c r="M91" s="24">
        <f>L91+J91+H91</f>
        <v>0</v>
      </c>
    </row>
    <row r="92" spans="1:13" s="20" customFormat="1" ht="19.95" customHeight="1">
      <c r="A92" s="14"/>
      <c r="B92" s="32" t="s">
        <v>38</v>
      </c>
      <c r="C92" s="143" t="s">
        <v>39</v>
      </c>
      <c r="D92" s="1"/>
      <c r="E92" s="33"/>
      <c r="F92" s="34"/>
      <c r="G92" s="35"/>
      <c r="H92" s="35">
        <f>SUM(H9:H91)</f>
        <v>0</v>
      </c>
      <c r="I92" s="35"/>
      <c r="J92" s="35">
        <f>SUM(J9:J91)</f>
        <v>0</v>
      </c>
      <c r="K92" s="35"/>
      <c r="L92" s="35">
        <f>SUM(L9:L91)</f>
        <v>0</v>
      </c>
      <c r="M92" s="35">
        <f>SUM(M9:M91)</f>
        <v>0</v>
      </c>
    </row>
    <row r="93" spans="1:13" s="20" customFormat="1" ht="31.95" customHeight="1">
      <c r="A93" s="14"/>
      <c r="B93" s="36" t="s">
        <v>285</v>
      </c>
      <c r="C93" s="143" t="s">
        <v>286</v>
      </c>
      <c r="D93" s="37">
        <v>0</v>
      </c>
      <c r="E93" s="1"/>
      <c r="F93" s="18"/>
      <c r="G93" s="8"/>
      <c r="H93" s="8"/>
      <c r="I93" s="8"/>
      <c r="J93" s="8"/>
      <c r="K93" s="8"/>
      <c r="L93" s="8"/>
      <c r="M93" s="38">
        <f>(H92)*D93</f>
        <v>0</v>
      </c>
    </row>
    <row r="94" spans="1:13" s="20" customFormat="1" ht="19.95" customHeight="1">
      <c r="A94" s="14"/>
      <c r="B94" s="32" t="s">
        <v>38</v>
      </c>
      <c r="C94" s="143" t="s">
        <v>39</v>
      </c>
      <c r="D94" s="2"/>
      <c r="E94" s="1"/>
      <c r="F94" s="18"/>
      <c r="G94" s="8"/>
      <c r="H94" s="8"/>
      <c r="I94" s="8"/>
      <c r="J94" s="8"/>
      <c r="K94" s="8"/>
      <c r="L94" s="8"/>
      <c r="M94" s="38">
        <f>M93+M92</f>
        <v>0</v>
      </c>
    </row>
    <row r="95" spans="1:13" s="20" customFormat="1" ht="19.95" customHeight="1">
      <c r="A95" s="14"/>
      <c r="B95" s="32" t="s">
        <v>43</v>
      </c>
      <c r="C95" s="39" t="s">
        <v>44</v>
      </c>
      <c r="D95" s="2">
        <v>0</v>
      </c>
      <c r="E95" s="1"/>
      <c r="F95" s="1"/>
      <c r="G95" s="8"/>
      <c r="H95" s="8"/>
      <c r="I95" s="8"/>
      <c r="J95" s="8"/>
      <c r="K95" s="8"/>
      <c r="L95" s="8"/>
      <c r="M95" s="31">
        <f>M94*D95</f>
        <v>0</v>
      </c>
    </row>
    <row r="96" spans="1:13" s="20" customFormat="1" ht="19.95" customHeight="1">
      <c r="A96" s="14"/>
      <c r="B96" s="32" t="s">
        <v>38</v>
      </c>
      <c r="C96" s="143" t="s">
        <v>39</v>
      </c>
      <c r="D96" s="2"/>
      <c r="E96" s="1"/>
      <c r="F96" s="1"/>
      <c r="G96" s="8"/>
      <c r="H96" s="8"/>
      <c r="I96" s="8"/>
      <c r="J96" s="8"/>
      <c r="K96" s="8"/>
      <c r="L96" s="8"/>
      <c r="M96" s="38">
        <f>SUM(M94:M95)</f>
        <v>0</v>
      </c>
    </row>
    <row r="97" spans="1:13" s="20" customFormat="1" ht="19.95" customHeight="1">
      <c r="A97" s="14"/>
      <c r="B97" s="32" t="s">
        <v>45</v>
      </c>
      <c r="C97" s="39" t="s">
        <v>46</v>
      </c>
      <c r="D97" s="2">
        <v>0</v>
      </c>
      <c r="E97" s="1"/>
      <c r="F97" s="1"/>
      <c r="G97" s="8"/>
      <c r="H97" s="8"/>
      <c r="I97" s="8"/>
      <c r="J97" s="8"/>
      <c r="K97" s="8"/>
      <c r="L97" s="8"/>
      <c r="M97" s="31">
        <f>M96*D97</f>
        <v>0</v>
      </c>
    </row>
    <row r="98" spans="1:13" s="20" customFormat="1" ht="19.95" customHeight="1">
      <c r="A98" s="14"/>
      <c r="B98" s="32" t="s">
        <v>38</v>
      </c>
      <c r="C98" s="143" t="s">
        <v>39</v>
      </c>
      <c r="D98" s="2"/>
      <c r="E98" s="1"/>
      <c r="F98" s="1"/>
      <c r="G98" s="8"/>
      <c r="H98" s="8"/>
      <c r="I98" s="8"/>
      <c r="J98" s="8"/>
      <c r="K98" s="8"/>
      <c r="L98" s="8"/>
      <c r="M98" s="40">
        <f>SUM(M96:M97)</f>
        <v>0</v>
      </c>
    </row>
    <row r="99" spans="1:13" s="20" customFormat="1" ht="19.95" customHeight="1">
      <c r="A99" s="14"/>
      <c r="B99" s="32" t="s">
        <v>163</v>
      </c>
      <c r="C99" s="39" t="s">
        <v>164</v>
      </c>
      <c r="D99" s="2">
        <v>0</v>
      </c>
      <c r="E99" s="1"/>
      <c r="F99" s="1"/>
      <c r="G99" s="8"/>
      <c r="H99" s="8"/>
      <c r="I99" s="8"/>
      <c r="J99" s="8"/>
      <c r="K99" s="8"/>
      <c r="L99" s="8"/>
      <c r="M99" s="31">
        <f>M98*D99</f>
        <v>0</v>
      </c>
    </row>
    <row r="100" spans="1:13" s="20" customFormat="1" ht="19.95" customHeight="1">
      <c r="A100" s="14"/>
      <c r="B100" s="36" t="s">
        <v>38</v>
      </c>
      <c r="C100" s="36" t="s">
        <v>39</v>
      </c>
      <c r="D100" s="1" t="s">
        <v>40</v>
      </c>
      <c r="E100" s="1"/>
      <c r="F100" s="1"/>
      <c r="G100" s="8"/>
      <c r="H100" s="8"/>
      <c r="I100" s="8"/>
      <c r="J100" s="8"/>
      <c r="K100" s="8"/>
      <c r="L100" s="8"/>
      <c r="M100" s="38">
        <f>M99+M98</f>
        <v>0</v>
      </c>
    </row>
    <row r="101" spans="1:13" s="20" customFormat="1" ht="19.95" customHeight="1">
      <c r="A101" s="14"/>
      <c r="B101" s="32" t="s">
        <v>47</v>
      </c>
      <c r="C101" s="39" t="s">
        <v>48</v>
      </c>
      <c r="D101" s="2">
        <v>0.18</v>
      </c>
      <c r="E101" s="1"/>
      <c r="F101" s="1"/>
      <c r="G101" s="8"/>
      <c r="H101" s="8"/>
      <c r="I101" s="8"/>
      <c r="J101" s="8"/>
      <c r="K101" s="8"/>
      <c r="L101" s="8"/>
      <c r="M101" s="31">
        <f>M100*D101</f>
        <v>0</v>
      </c>
    </row>
    <row r="102" spans="1:13" s="20" customFormat="1" ht="25.95" customHeight="1" thickBot="1">
      <c r="A102" s="41"/>
      <c r="B102" s="42" t="s">
        <v>49</v>
      </c>
      <c r="C102" s="43" t="s">
        <v>50</v>
      </c>
      <c r="D102" s="44" t="s">
        <v>40</v>
      </c>
      <c r="E102" s="44"/>
      <c r="F102" s="44"/>
      <c r="G102" s="45"/>
      <c r="H102" s="45"/>
      <c r="I102" s="45"/>
      <c r="J102" s="45"/>
      <c r="K102" s="45"/>
      <c r="L102" s="45"/>
      <c r="M102" s="46">
        <f>SUM(M100:M101)</f>
        <v>0</v>
      </c>
    </row>
  </sheetData>
  <sheetProtection algorithmName="SHA-512" hashValue="ZvHpzV6Hyy89MVRI5SJ5I9Gw+WeWF2IQEuSLJ1uuMU8LatdLZwgV6DsLHJiUxBieV+YtakCp+qOs3i8IQOZ9Jw==" saltValue="G2auPYAllwzXbiblu+cT7A==" spinCount="100000" sheet="1" objects="1" scenarios="1" formatCells="0" formatColumns="0" formatRows="0"/>
  <protectedRanges>
    <protectedRange sqref="D95 D97" name="Range4_1_1"/>
    <protectedRange sqref="D99" name="Range4_1_1_2_1"/>
    <protectedRange sqref="G7" name="Range1_5"/>
    <protectedRange sqref="I7" name="Range2_4"/>
    <protectedRange sqref="K7" name="Range3_2"/>
    <protectedRange sqref="G50" name="Range1_5_1"/>
    <protectedRange sqref="I50" name="Range2_4_1"/>
    <protectedRange sqref="K50" name="Range3_2_1"/>
  </protectedRanges>
  <mergeCells count="11">
    <mergeCell ref="M4:M5"/>
    <mergeCell ref="B1:M2"/>
    <mergeCell ref="A4:A5"/>
    <mergeCell ref="B4:B5"/>
    <mergeCell ref="C4:C5"/>
    <mergeCell ref="D4:D5"/>
    <mergeCell ref="E4:E5"/>
    <mergeCell ref="F4:F5"/>
    <mergeCell ref="G4:H4"/>
    <mergeCell ref="I4:J4"/>
    <mergeCell ref="K4:L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ACBC6-FCA5-4449-AB93-3933FB42E84B}">
  <dimension ref="A1:M61"/>
  <sheetViews>
    <sheetView tabSelected="1" zoomScale="70" zoomScaleNormal="70" workbookViewId="0">
      <pane xSplit="3" ySplit="6" topLeftCell="D7" activePane="bottomRight" state="frozen"/>
      <selection activeCell="E415" sqref="E415"/>
      <selection pane="topRight" activeCell="E415" sqref="E415"/>
      <selection pane="bottomLeft" activeCell="E415" sqref="E415"/>
      <selection pane="bottomRight" activeCell="F41" sqref="F41"/>
    </sheetView>
  </sheetViews>
  <sheetFormatPr defaultRowHeight="14.4"/>
  <cols>
    <col min="1" max="1" width="17.77734375" style="12" customWidth="1"/>
    <col min="2" max="2" width="33" style="12" bestFit="1" customWidth="1"/>
    <col min="3" max="3" width="36.109375" style="12" bestFit="1" customWidth="1"/>
    <col min="4" max="4" width="14.77734375" style="20" bestFit="1" customWidth="1"/>
    <col min="5" max="5" width="16.109375" style="12" bestFit="1" customWidth="1"/>
    <col min="6" max="6" width="12.6640625" style="20" bestFit="1" customWidth="1"/>
    <col min="7" max="7" width="11.109375" style="12" bestFit="1" customWidth="1"/>
    <col min="8" max="8" width="11.21875" style="12" bestFit="1" customWidth="1"/>
    <col min="9" max="9" width="11.109375" style="12" bestFit="1" customWidth="1"/>
    <col min="10" max="10" width="11.21875" style="12" bestFit="1" customWidth="1"/>
    <col min="11" max="11" width="11.109375" style="12" bestFit="1" customWidth="1"/>
    <col min="12" max="12" width="8.6640625" style="12" bestFit="1" customWidth="1"/>
    <col min="13" max="13" width="13.5546875" style="12" bestFit="1" customWidth="1"/>
    <col min="14" max="16384" width="8.88671875" style="12"/>
  </cols>
  <sheetData>
    <row r="1" spans="1:13" s="10" customFormat="1" ht="19.95" customHeight="1">
      <c r="A1" s="9"/>
      <c r="B1" s="144" t="s">
        <v>393</v>
      </c>
      <c r="C1" s="145"/>
      <c r="D1" s="145"/>
      <c r="E1" s="145"/>
      <c r="F1" s="145"/>
      <c r="G1" s="145"/>
      <c r="H1" s="145"/>
      <c r="I1" s="145"/>
      <c r="J1" s="145"/>
      <c r="K1" s="145"/>
      <c r="L1" s="145"/>
      <c r="M1" s="145"/>
    </row>
    <row r="2" spans="1:13" ht="30.6" customHeight="1">
      <c r="A2" s="11"/>
      <c r="B2" s="145"/>
      <c r="C2" s="145"/>
      <c r="D2" s="145"/>
      <c r="E2" s="145"/>
      <c r="F2" s="145"/>
      <c r="G2" s="145"/>
      <c r="H2" s="145"/>
      <c r="I2" s="145"/>
      <c r="J2" s="145"/>
      <c r="K2" s="145"/>
      <c r="L2" s="145"/>
      <c r="M2" s="145"/>
    </row>
    <row r="3" spans="1:13" ht="30.6" customHeight="1">
      <c r="A3" s="11"/>
      <c r="B3" s="140"/>
      <c r="C3" s="140"/>
      <c r="D3" s="140"/>
      <c r="E3" s="140"/>
      <c r="F3" s="140"/>
      <c r="G3" s="140"/>
      <c r="H3" s="140"/>
      <c r="I3" s="140"/>
      <c r="J3" s="140"/>
      <c r="K3" s="140"/>
      <c r="L3" s="140"/>
      <c r="M3" s="140"/>
    </row>
    <row r="4" spans="1:13" s="13" customFormat="1" ht="27.6" customHeight="1">
      <c r="A4" s="150" t="s">
        <v>0</v>
      </c>
      <c r="B4" s="152" t="s">
        <v>1</v>
      </c>
      <c r="C4" s="152" t="s">
        <v>2</v>
      </c>
      <c r="D4" s="152" t="s">
        <v>3</v>
      </c>
      <c r="E4" s="152" t="s">
        <v>4</v>
      </c>
      <c r="F4" s="152" t="s">
        <v>5</v>
      </c>
      <c r="G4" s="152" t="s">
        <v>166</v>
      </c>
      <c r="H4" s="152"/>
      <c r="I4" s="152" t="s">
        <v>6</v>
      </c>
      <c r="J4" s="152"/>
      <c r="K4" s="152" t="s">
        <v>7</v>
      </c>
      <c r="L4" s="152"/>
      <c r="M4" s="152" t="s">
        <v>8</v>
      </c>
    </row>
    <row r="5" spans="1:13" s="13" customFormat="1" ht="33.6" customHeight="1">
      <c r="A5" s="150"/>
      <c r="B5" s="152"/>
      <c r="C5" s="152"/>
      <c r="D5" s="152"/>
      <c r="E5" s="152"/>
      <c r="F5" s="152"/>
      <c r="G5" s="143" t="s">
        <v>9</v>
      </c>
      <c r="H5" s="143" t="s">
        <v>10</v>
      </c>
      <c r="I5" s="143" t="s">
        <v>9</v>
      </c>
      <c r="J5" s="143" t="s">
        <v>10</v>
      </c>
      <c r="K5" s="143" t="s">
        <v>9</v>
      </c>
      <c r="L5" s="143" t="s">
        <v>10</v>
      </c>
      <c r="M5" s="152"/>
    </row>
    <row r="6" spans="1:13" s="13" customFormat="1" ht="16.95" customHeight="1">
      <c r="A6" s="142">
        <v>1</v>
      </c>
      <c r="B6" s="142">
        <v>2</v>
      </c>
      <c r="C6" s="142">
        <v>3</v>
      </c>
      <c r="D6" s="142">
        <v>4</v>
      </c>
      <c r="E6" s="142">
        <v>5</v>
      </c>
      <c r="F6" s="142">
        <v>6</v>
      </c>
      <c r="G6" s="142">
        <v>7</v>
      </c>
      <c r="H6" s="142">
        <v>8</v>
      </c>
      <c r="I6" s="142">
        <v>9</v>
      </c>
      <c r="J6" s="142">
        <v>10</v>
      </c>
      <c r="K6" s="142">
        <v>11</v>
      </c>
      <c r="L6" s="142">
        <v>12</v>
      </c>
      <c r="M6" s="142">
        <v>13</v>
      </c>
    </row>
    <row r="7" spans="1:13" s="20" customFormat="1" ht="19.95" customHeight="1">
      <c r="A7" s="14"/>
      <c r="B7" s="15" t="s">
        <v>52</v>
      </c>
      <c r="C7" s="16" t="s">
        <v>54</v>
      </c>
      <c r="D7" s="17"/>
      <c r="E7" s="18"/>
      <c r="F7" s="18"/>
      <c r="G7" s="1"/>
      <c r="H7" s="1"/>
      <c r="I7" s="1"/>
      <c r="J7" s="1"/>
      <c r="K7" s="1"/>
      <c r="L7" s="1"/>
      <c r="M7" s="19"/>
    </row>
    <row r="8" spans="1:13" s="13" customFormat="1" ht="24">
      <c r="A8" s="142">
        <v>1</v>
      </c>
      <c r="B8" s="208" t="s">
        <v>346</v>
      </c>
      <c r="C8" s="208" t="s">
        <v>347</v>
      </c>
      <c r="D8" s="50" t="s">
        <v>238</v>
      </c>
      <c r="E8" s="47"/>
      <c r="F8" s="47">
        <v>800</v>
      </c>
      <c r="G8" s="21"/>
      <c r="H8" s="21"/>
      <c r="I8" s="21"/>
      <c r="J8" s="21"/>
      <c r="K8" s="21"/>
      <c r="L8" s="21"/>
      <c r="M8" s="21"/>
    </row>
    <row r="9" spans="1:13">
      <c r="A9" s="22"/>
      <c r="B9" s="209" t="s">
        <v>116</v>
      </c>
      <c r="C9" s="209" t="s">
        <v>237</v>
      </c>
      <c r="D9" s="50" t="s">
        <v>238</v>
      </c>
      <c r="E9" s="48">
        <v>1</v>
      </c>
      <c r="F9" s="49">
        <f>E9*$F$8</f>
        <v>800</v>
      </c>
      <c r="G9" s="24"/>
      <c r="H9" s="24"/>
      <c r="I9" s="24"/>
      <c r="J9" s="24">
        <f t="shared" ref="J9:J15" si="0">I9*F9</f>
        <v>0</v>
      </c>
      <c r="K9" s="24"/>
      <c r="L9" s="24"/>
      <c r="M9" s="24">
        <f t="shared" ref="M9:M18" si="1">L9+J9+H9</f>
        <v>0</v>
      </c>
    </row>
    <row r="10" spans="1:13">
      <c r="A10" s="22"/>
      <c r="B10" s="209" t="s">
        <v>391</v>
      </c>
      <c r="C10" s="209" t="s">
        <v>392</v>
      </c>
      <c r="D10" s="50" t="s">
        <v>238</v>
      </c>
      <c r="E10" s="48">
        <v>1.05</v>
      </c>
      <c r="F10" s="49">
        <f>E10*$F$8</f>
        <v>840</v>
      </c>
      <c r="G10" s="24"/>
      <c r="H10" s="24">
        <f>G10*F10</f>
        <v>0</v>
      </c>
      <c r="I10" s="24"/>
      <c r="J10" s="24">
        <f t="shared" si="0"/>
        <v>0</v>
      </c>
      <c r="K10" s="24"/>
      <c r="L10" s="24"/>
      <c r="M10" s="24">
        <f t="shared" si="1"/>
        <v>0</v>
      </c>
    </row>
    <row r="11" spans="1:13">
      <c r="A11" s="22"/>
      <c r="B11" s="209" t="s">
        <v>350</v>
      </c>
      <c r="C11" s="209" t="s">
        <v>351</v>
      </c>
      <c r="D11" s="50" t="s">
        <v>238</v>
      </c>
      <c r="E11" s="48">
        <v>1.05</v>
      </c>
      <c r="F11" s="49">
        <f>E11*$F$8</f>
        <v>840</v>
      </c>
      <c r="G11" s="24"/>
      <c r="H11" s="24">
        <f>G11*F11</f>
        <v>0</v>
      </c>
      <c r="I11" s="24"/>
      <c r="J11" s="24">
        <f t="shared" si="0"/>
        <v>0</v>
      </c>
      <c r="K11" s="24"/>
      <c r="L11" s="24"/>
      <c r="M11" s="24">
        <f t="shared" si="1"/>
        <v>0</v>
      </c>
    </row>
    <row r="12" spans="1:13">
      <c r="A12" s="22"/>
      <c r="B12" s="214" t="s">
        <v>352</v>
      </c>
      <c r="C12" s="214" t="s">
        <v>353</v>
      </c>
      <c r="D12" s="222" t="s">
        <v>238</v>
      </c>
      <c r="E12" s="138">
        <v>1.05</v>
      </c>
      <c r="F12" s="139">
        <f>E12*$F$8</f>
        <v>840</v>
      </c>
      <c r="G12" s="136"/>
      <c r="H12" s="136">
        <f>G12*F12</f>
        <v>0</v>
      </c>
      <c r="I12" s="136"/>
      <c r="J12" s="136">
        <f t="shared" si="0"/>
        <v>0</v>
      </c>
      <c r="K12" s="136"/>
      <c r="L12" s="136"/>
      <c r="M12" s="136">
        <f t="shared" si="1"/>
        <v>0</v>
      </c>
    </row>
    <row r="13" spans="1:13">
      <c r="A13" s="22"/>
      <c r="B13" s="209" t="s">
        <v>250</v>
      </c>
      <c r="C13" s="209" t="s">
        <v>251</v>
      </c>
      <c r="D13" s="210" t="s">
        <v>252</v>
      </c>
      <c r="E13" s="48">
        <v>1</v>
      </c>
      <c r="F13" s="49">
        <f>E13*$F$8</f>
        <v>800</v>
      </c>
      <c r="G13" s="24"/>
      <c r="H13" s="24">
        <f>G13*F13</f>
        <v>0</v>
      </c>
      <c r="I13" s="24"/>
      <c r="J13" s="24">
        <f t="shared" si="0"/>
        <v>0</v>
      </c>
      <c r="K13" s="24"/>
      <c r="L13" s="24"/>
      <c r="M13" s="24">
        <f t="shared" si="1"/>
        <v>0</v>
      </c>
    </row>
    <row r="14" spans="1:13" s="13" customFormat="1" ht="24">
      <c r="A14" s="142">
        <v>2</v>
      </c>
      <c r="B14" s="208" t="s">
        <v>335</v>
      </c>
      <c r="C14" s="208" t="s">
        <v>336</v>
      </c>
      <c r="D14" s="50" t="s">
        <v>238</v>
      </c>
      <c r="E14" s="47"/>
      <c r="F14" s="47">
        <v>800</v>
      </c>
      <c r="G14" s="21"/>
      <c r="H14" s="21"/>
      <c r="I14" s="21"/>
      <c r="J14" s="21"/>
      <c r="K14" s="21"/>
      <c r="L14" s="21"/>
      <c r="M14" s="21"/>
    </row>
    <row r="15" spans="1:13">
      <c r="A15" s="22"/>
      <c r="B15" s="209" t="s">
        <v>116</v>
      </c>
      <c r="C15" s="209" t="s">
        <v>237</v>
      </c>
      <c r="D15" s="210" t="s">
        <v>238</v>
      </c>
      <c r="E15" s="48">
        <v>1</v>
      </c>
      <c r="F15" s="49">
        <f>E15*$F$14</f>
        <v>800</v>
      </c>
      <c r="G15" s="24"/>
      <c r="H15" s="24"/>
      <c r="I15" s="24"/>
      <c r="J15" s="24">
        <f t="shared" si="0"/>
        <v>0</v>
      </c>
      <c r="K15" s="24"/>
      <c r="L15" s="24"/>
      <c r="M15" s="24">
        <f t="shared" si="1"/>
        <v>0</v>
      </c>
    </row>
    <row r="16" spans="1:13">
      <c r="A16" s="22"/>
      <c r="B16" s="209" t="s">
        <v>337</v>
      </c>
      <c r="C16" s="209" t="s">
        <v>338</v>
      </c>
      <c r="D16" s="217" t="s">
        <v>292</v>
      </c>
      <c r="E16" s="48">
        <v>0.05</v>
      </c>
      <c r="F16" s="49">
        <f>E16*$F$14</f>
        <v>40</v>
      </c>
      <c r="G16" s="24"/>
      <c r="H16" s="24">
        <f>G16*F16</f>
        <v>0</v>
      </c>
      <c r="I16" s="24"/>
      <c r="J16" s="24"/>
      <c r="K16" s="24"/>
      <c r="L16" s="24"/>
      <c r="M16" s="24">
        <f t="shared" si="1"/>
        <v>0</v>
      </c>
    </row>
    <row r="17" spans="1:13">
      <c r="A17" s="22"/>
      <c r="B17" s="209" t="s">
        <v>339</v>
      </c>
      <c r="C17" s="209" t="s">
        <v>340</v>
      </c>
      <c r="D17" s="210" t="s">
        <v>238</v>
      </c>
      <c r="E17" s="48">
        <v>1.02</v>
      </c>
      <c r="F17" s="49">
        <f>E17*$F$14</f>
        <v>816</v>
      </c>
      <c r="G17" s="24"/>
      <c r="H17" s="24">
        <f>G17*F17</f>
        <v>0</v>
      </c>
      <c r="I17" s="24"/>
      <c r="J17" s="24"/>
      <c r="K17" s="24"/>
      <c r="L17" s="24"/>
      <c r="M17" s="24">
        <f t="shared" si="1"/>
        <v>0</v>
      </c>
    </row>
    <row r="18" spans="1:13">
      <c r="A18" s="22"/>
      <c r="B18" s="209" t="s">
        <v>250</v>
      </c>
      <c r="C18" s="209" t="s">
        <v>251</v>
      </c>
      <c r="D18" s="210" t="s">
        <v>252</v>
      </c>
      <c r="E18" s="48">
        <v>1</v>
      </c>
      <c r="F18" s="49">
        <f>E18*$F$14</f>
        <v>800</v>
      </c>
      <c r="G18" s="24"/>
      <c r="H18" s="24">
        <f>G18*F18</f>
        <v>0</v>
      </c>
      <c r="I18" s="24"/>
      <c r="J18" s="24"/>
      <c r="K18" s="24"/>
      <c r="L18" s="24"/>
      <c r="M18" s="24">
        <f t="shared" si="1"/>
        <v>0</v>
      </c>
    </row>
    <row r="19" spans="1:13" s="13" customFormat="1" ht="24">
      <c r="A19" s="142">
        <v>3</v>
      </c>
      <c r="B19" s="208" t="s">
        <v>326</v>
      </c>
      <c r="C19" s="208" t="s">
        <v>327</v>
      </c>
      <c r="D19" s="50" t="s">
        <v>238</v>
      </c>
      <c r="E19" s="47"/>
      <c r="F19" s="47">
        <v>800</v>
      </c>
      <c r="G19" s="21"/>
      <c r="H19" s="21"/>
      <c r="I19" s="21"/>
      <c r="J19" s="21"/>
      <c r="K19" s="21"/>
      <c r="L19" s="21"/>
      <c r="M19" s="21"/>
    </row>
    <row r="20" spans="1:13">
      <c r="A20" s="22"/>
      <c r="B20" s="209" t="s">
        <v>328</v>
      </c>
      <c r="C20" s="209" t="s">
        <v>121</v>
      </c>
      <c r="D20" s="50" t="s">
        <v>238</v>
      </c>
      <c r="E20" s="48">
        <v>1</v>
      </c>
      <c r="F20" s="49">
        <f t="shared" ref="F20:F25" si="2">E20*$F$19</f>
        <v>800</v>
      </c>
      <c r="G20" s="24"/>
      <c r="H20" s="24"/>
      <c r="I20" s="24"/>
      <c r="J20" s="24">
        <f>I20*F20</f>
        <v>0</v>
      </c>
      <c r="K20" s="24"/>
      <c r="L20" s="24"/>
      <c r="M20" s="24">
        <f t="shared" ref="M20:M25" si="3">L20+J20+H20</f>
        <v>0</v>
      </c>
    </row>
    <row r="21" spans="1:13">
      <c r="A21" s="22"/>
      <c r="B21" s="209" t="s">
        <v>329</v>
      </c>
      <c r="C21" s="209" t="s">
        <v>122</v>
      </c>
      <c r="D21" s="50" t="s">
        <v>238</v>
      </c>
      <c r="E21" s="138">
        <v>1.1399999999999999</v>
      </c>
      <c r="F21" s="49">
        <f t="shared" si="2"/>
        <v>911.99999999999989</v>
      </c>
      <c r="G21" s="24"/>
      <c r="H21" s="24">
        <f>G21*F21</f>
        <v>0</v>
      </c>
      <c r="I21" s="24"/>
      <c r="J21" s="24"/>
      <c r="K21" s="24"/>
      <c r="L21" s="24"/>
      <c r="M21" s="24">
        <f t="shared" si="3"/>
        <v>0</v>
      </c>
    </row>
    <row r="22" spans="1:13">
      <c r="A22" s="22"/>
      <c r="B22" s="209" t="s">
        <v>330</v>
      </c>
      <c r="C22" s="209" t="s">
        <v>123</v>
      </c>
      <c r="D22" s="50" t="s">
        <v>238</v>
      </c>
      <c r="E22" s="138">
        <v>1.1599999999999999</v>
      </c>
      <c r="F22" s="49">
        <f t="shared" si="2"/>
        <v>927.99999999999989</v>
      </c>
      <c r="G22" s="24"/>
      <c r="H22" s="24">
        <f>G22*F22</f>
        <v>0</v>
      </c>
      <c r="I22" s="24"/>
      <c r="J22" s="24"/>
      <c r="K22" s="24"/>
      <c r="L22" s="24"/>
      <c r="M22" s="24">
        <f t="shared" si="3"/>
        <v>0</v>
      </c>
    </row>
    <row r="23" spans="1:13">
      <c r="A23" s="22"/>
      <c r="B23" s="209" t="s">
        <v>331</v>
      </c>
      <c r="C23" s="209" t="s">
        <v>332</v>
      </c>
      <c r="D23" s="210" t="s">
        <v>333</v>
      </c>
      <c r="E23" s="137">
        <v>0.56999999999999995</v>
      </c>
      <c r="F23" s="49">
        <f t="shared" si="2"/>
        <v>455.99999999999994</v>
      </c>
      <c r="G23" s="24"/>
      <c r="H23" s="24">
        <f>G23*F23</f>
        <v>0</v>
      </c>
      <c r="I23" s="24"/>
      <c r="J23" s="24"/>
      <c r="K23" s="24"/>
      <c r="L23" s="24"/>
      <c r="M23" s="24">
        <f t="shared" si="3"/>
        <v>0</v>
      </c>
    </row>
    <row r="24" spans="1:13">
      <c r="A24" s="22"/>
      <c r="B24" s="209" t="s">
        <v>334</v>
      </c>
      <c r="C24" s="209" t="s">
        <v>125</v>
      </c>
      <c r="D24" s="210" t="s">
        <v>333</v>
      </c>
      <c r="E24" s="137">
        <v>0.3</v>
      </c>
      <c r="F24" s="49">
        <f t="shared" si="2"/>
        <v>240</v>
      </c>
      <c r="G24" s="24"/>
      <c r="H24" s="24">
        <f>G24*F24</f>
        <v>0</v>
      </c>
      <c r="I24" s="24"/>
      <c r="J24" s="24"/>
      <c r="K24" s="24"/>
      <c r="L24" s="24"/>
      <c r="M24" s="24">
        <f t="shared" si="3"/>
        <v>0</v>
      </c>
    </row>
    <row r="25" spans="1:13">
      <c r="A25" s="22"/>
      <c r="B25" s="209" t="s">
        <v>250</v>
      </c>
      <c r="C25" s="209" t="s">
        <v>251</v>
      </c>
      <c r="D25" s="210" t="s">
        <v>252</v>
      </c>
      <c r="E25" s="48">
        <v>1</v>
      </c>
      <c r="F25" s="49">
        <f t="shared" si="2"/>
        <v>800</v>
      </c>
      <c r="G25" s="24"/>
      <c r="H25" s="24">
        <f>G25*F25</f>
        <v>0</v>
      </c>
      <c r="I25" s="24"/>
      <c r="J25" s="24"/>
      <c r="K25" s="24"/>
      <c r="L25" s="24"/>
      <c r="M25" s="24">
        <f t="shared" si="3"/>
        <v>0</v>
      </c>
    </row>
    <row r="26" spans="1:13" s="13" customFormat="1">
      <c r="A26" s="142">
        <v>4</v>
      </c>
      <c r="B26" s="208" t="s">
        <v>322</v>
      </c>
      <c r="C26" s="208" t="s">
        <v>323</v>
      </c>
      <c r="D26" s="50" t="s">
        <v>238</v>
      </c>
      <c r="E26" s="50"/>
      <c r="F26" s="51">
        <f>F14</f>
        <v>800</v>
      </c>
      <c r="G26" s="26"/>
      <c r="H26" s="26"/>
      <c r="I26" s="26"/>
      <c r="J26" s="26"/>
      <c r="K26" s="26"/>
      <c r="L26" s="26"/>
      <c r="M26" s="26"/>
    </row>
    <row r="27" spans="1:13" s="30" customFormat="1">
      <c r="A27" s="27"/>
      <c r="B27" s="209" t="s">
        <v>116</v>
      </c>
      <c r="C27" s="209" t="s">
        <v>237</v>
      </c>
      <c r="D27" s="53" t="s">
        <v>238</v>
      </c>
      <c r="E27" s="52">
        <v>1</v>
      </c>
      <c r="F27" s="53">
        <f>E27*F26</f>
        <v>800</v>
      </c>
      <c r="G27" s="29"/>
      <c r="H27" s="29"/>
      <c r="I27" s="29"/>
      <c r="J27" s="24">
        <f>I27*F27</f>
        <v>0</v>
      </c>
      <c r="K27" s="29"/>
      <c r="L27" s="29"/>
      <c r="M27" s="24">
        <f>L27+J27+H27</f>
        <v>0</v>
      </c>
    </row>
    <row r="28" spans="1:13" s="30" customFormat="1">
      <c r="A28" s="27"/>
      <c r="B28" s="209" t="s">
        <v>324</v>
      </c>
      <c r="C28" s="209" t="s">
        <v>325</v>
      </c>
      <c r="D28" s="53" t="s">
        <v>238</v>
      </c>
      <c r="E28" s="52">
        <v>1.05</v>
      </c>
      <c r="F28" s="53">
        <f>E28*F26</f>
        <v>840</v>
      </c>
      <c r="G28" s="29"/>
      <c r="H28" s="24">
        <f>G28*F28</f>
        <v>0</v>
      </c>
      <c r="I28" s="29"/>
      <c r="J28" s="29"/>
      <c r="K28" s="29"/>
      <c r="L28" s="29"/>
      <c r="M28" s="24">
        <f>L28+J28+H28</f>
        <v>0</v>
      </c>
    </row>
    <row r="29" spans="1:13" s="20" customFormat="1" ht="19.95" customHeight="1">
      <c r="A29" s="14"/>
      <c r="B29" s="180" t="s">
        <v>51</v>
      </c>
      <c r="C29" s="181" t="s">
        <v>53</v>
      </c>
      <c r="D29" s="169"/>
      <c r="E29" s="54"/>
      <c r="F29" s="54"/>
      <c r="G29" s="8"/>
      <c r="H29" s="8"/>
      <c r="I29" s="8"/>
      <c r="J29" s="8"/>
      <c r="K29" s="8"/>
      <c r="L29" s="8"/>
      <c r="M29" s="31"/>
    </row>
    <row r="30" spans="1:13" s="13" customFormat="1" ht="24">
      <c r="A30" s="142">
        <v>5</v>
      </c>
      <c r="B30" s="208" t="s">
        <v>346</v>
      </c>
      <c r="C30" s="208" t="s">
        <v>347</v>
      </c>
      <c r="D30" s="50" t="s">
        <v>238</v>
      </c>
      <c r="E30" s="47"/>
      <c r="F30" s="47">
        <v>800</v>
      </c>
      <c r="G30" s="21"/>
      <c r="H30" s="21"/>
      <c r="I30" s="21"/>
      <c r="J30" s="21"/>
      <c r="K30" s="21"/>
      <c r="L30" s="21"/>
      <c r="M30" s="21"/>
    </row>
    <row r="31" spans="1:13">
      <c r="A31" s="22"/>
      <c r="B31" s="209" t="s">
        <v>116</v>
      </c>
      <c r="C31" s="209" t="s">
        <v>237</v>
      </c>
      <c r="D31" s="50" t="s">
        <v>238</v>
      </c>
      <c r="E31" s="48">
        <v>1</v>
      </c>
      <c r="F31" s="49">
        <f>E31*$F$30</f>
        <v>800</v>
      </c>
      <c r="G31" s="24"/>
      <c r="H31" s="24"/>
      <c r="I31" s="24"/>
      <c r="J31" s="24">
        <f t="shared" ref="J31:J36" si="4">I31*F31</f>
        <v>0</v>
      </c>
      <c r="K31" s="24"/>
      <c r="L31" s="24"/>
      <c r="M31" s="24">
        <f t="shared" ref="M31:M40" si="5">L31+J31+H31</f>
        <v>0</v>
      </c>
    </row>
    <row r="32" spans="1:13">
      <c r="A32" s="22"/>
      <c r="B32" s="209" t="s">
        <v>348</v>
      </c>
      <c r="C32" s="209" t="s">
        <v>349</v>
      </c>
      <c r="D32" s="50" t="s">
        <v>238</v>
      </c>
      <c r="E32" s="48">
        <v>1.05</v>
      </c>
      <c r="F32" s="49">
        <f>E32*$F$30</f>
        <v>840</v>
      </c>
      <c r="G32" s="24"/>
      <c r="H32" s="24">
        <f>G32*F32</f>
        <v>0</v>
      </c>
      <c r="I32" s="24"/>
      <c r="J32" s="24">
        <f t="shared" si="4"/>
        <v>0</v>
      </c>
      <c r="K32" s="24"/>
      <c r="L32" s="24"/>
      <c r="M32" s="24">
        <f t="shared" si="5"/>
        <v>0</v>
      </c>
    </row>
    <row r="33" spans="1:13">
      <c r="A33" s="22"/>
      <c r="B33" s="209" t="s">
        <v>350</v>
      </c>
      <c r="C33" s="209" t="s">
        <v>351</v>
      </c>
      <c r="D33" s="50" t="s">
        <v>238</v>
      </c>
      <c r="E33" s="48">
        <v>1.05</v>
      </c>
      <c r="F33" s="49">
        <f>E33*$F$30</f>
        <v>840</v>
      </c>
      <c r="G33" s="24"/>
      <c r="H33" s="24">
        <f>G33*F33</f>
        <v>0</v>
      </c>
      <c r="I33" s="24"/>
      <c r="J33" s="24">
        <f t="shared" si="4"/>
        <v>0</v>
      </c>
      <c r="K33" s="24"/>
      <c r="L33" s="24"/>
      <c r="M33" s="24">
        <f t="shared" si="5"/>
        <v>0</v>
      </c>
    </row>
    <row r="34" spans="1:13">
      <c r="A34" s="22"/>
      <c r="B34" s="214" t="s">
        <v>352</v>
      </c>
      <c r="C34" s="214" t="s">
        <v>353</v>
      </c>
      <c r="D34" s="222" t="s">
        <v>238</v>
      </c>
      <c r="E34" s="138">
        <v>1.05</v>
      </c>
      <c r="F34" s="139">
        <f>E34*$F$8</f>
        <v>840</v>
      </c>
      <c r="G34" s="136"/>
      <c r="H34" s="136">
        <f>G34*F34</f>
        <v>0</v>
      </c>
      <c r="I34" s="136"/>
      <c r="J34" s="136">
        <f t="shared" si="4"/>
        <v>0</v>
      </c>
      <c r="K34" s="136"/>
      <c r="L34" s="136"/>
      <c r="M34" s="136">
        <f t="shared" si="5"/>
        <v>0</v>
      </c>
    </row>
    <row r="35" spans="1:13">
      <c r="A35" s="22"/>
      <c r="B35" s="209" t="s">
        <v>250</v>
      </c>
      <c r="C35" s="209" t="s">
        <v>251</v>
      </c>
      <c r="D35" s="210" t="s">
        <v>252</v>
      </c>
      <c r="E35" s="48">
        <v>1</v>
      </c>
      <c r="F35" s="49">
        <f>E35*$F$30</f>
        <v>800</v>
      </c>
      <c r="G35" s="24"/>
      <c r="H35" s="24">
        <f>G35*F35</f>
        <v>0</v>
      </c>
      <c r="I35" s="24"/>
      <c r="J35" s="24">
        <f t="shared" si="4"/>
        <v>0</v>
      </c>
      <c r="K35" s="24"/>
      <c r="L35" s="24"/>
      <c r="M35" s="24">
        <f t="shared" si="5"/>
        <v>0</v>
      </c>
    </row>
    <row r="36" spans="1:13" s="13" customFormat="1" ht="24">
      <c r="A36" s="142">
        <v>6</v>
      </c>
      <c r="B36" s="208" t="s">
        <v>335</v>
      </c>
      <c r="C36" s="208" t="s">
        <v>336</v>
      </c>
      <c r="D36" s="50" t="s">
        <v>238</v>
      </c>
      <c r="E36" s="47"/>
      <c r="F36" s="47">
        <f>F30</f>
        <v>800</v>
      </c>
      <c r="G36" s="21"/>
      <c r="H36" s="21">
        <f>G36*F36</f>
        <v>0</v>
      </c>
      <c r="I36" s="21"/>
      <c r="J36" s="21">
        <f t="shared" si="4"/>
        <v>0</v>
      </c>
      <c r="K36" s="21"/>
      <c r="L36" s="21"/>
      <c r="M36" s="21">
        <f t="shared" si="5"/>
        <v>0</v>
      </c>
    </row>
    <row r="37" spans="1:13">
      <c r="A37" s="22"/>
      <c r="B37" s="209" t="s">
        <v>116</v>
      </c>
      <c r="C37" s="209" t="s">
        <v>237</v>
      </c>
      <c r="D37" s="210" t="s">
        <v>238</v>
      </c>
      <c r="E37" s="48">
        <v>1</v>
      </c>
      <c r="F37" s="49">
        <f>E37*$F$36</f>
        <v>800</v>
      </c>
      <c r="G37" s="24"/>
      <c r="H37" s="24"/>
      <c r="I37" s="24"/>
      <c r="J37" s="24">
        <f>I37*F37</f>
        <v>0</v>
      </c>
      <c r="K37" s="24"/>
      <c r="L37" s="24"/>
      <c r="M37" s="24">
        <f t="shared" si="5"/>
        <v>0</v>
      </c>
    </row>
    <row r="38" spans="1:13">
      <c r="A38" s="22"/>
      <c r="B38" s="209" t="s">
        <v>337</v>
      </c>
      <c r="C38" s="209" t="s">
        <v>338</v>
      </c>
      <c r="D38" s="217" t="s">
        <v>292</v>
      </c>
      <c r="E38" s="48">
        <v>0.05</v>
      </c>
      <c r="F38" s="49">
        <f>E38*$F$36</f>
        <v>40</v>
      </c>
      <c r="G38" s="24"/>
      <c r="H38" s="24">
        <f>G38*F38</f>
        <v>0</v>
      </c>
      <c r="I38" s="24"/>
      <c r="J38" s="24"/>
      <c r="K38" s="24"/>
      <c r="L38" s="24"/>
      <c r="M38" s="24">
        <f t="shared" si="5"/>
        <v>0</v>
      </c>
    </row>
    <row r="39" spans="1:13">
      <c r="A39" s="22"/>
      <c r="B39" s="209" t="s">
        <v>339</v>
      </c>
      <c r="C39" s="209" t="s">
        <v>340</v>
      </c>
      <c r="D39" s="210" t="s">
        <v>238</v>
      </c>
      <c r="E39" s="48">
        <v>1.02</v>
      </c>
      <c r="F39" s="49">
        <f>E39*$F$36</f>
        <v>816</v>
      </c>
      <c r="G39" s="24"/>
      <c r="H39" s="24">
        <f>G39*F39</f>
        <v>0</v>
      </c>
      <c r="I39" s="24"/>
      <c r="J39" s="24"/>
      <c r="K39" s="24"/>
      <c r="L39" s="24"/>
      <c r="M39" s="24">
        <f t="shared" si="5"/>
        <v>0</v>
      </c>
    </row>
    <row r="40" spans="1:13">
      <c r="A40" s="22"/>
      <c r="B40" s="209" t="s">
        <v>250</v>
      </c>
      <c r="C40" s="209" t="s">
        <v>251</v>
      </c>
      <c r="D40" s="210" t="s">
        <v>252</v>
      </c>
      <c r="E40" s="48">
        <v>1</v>
      </c>
      <c r="F40" s="49">
        <f>E40*$F$36</f>
        <v>800</v>
      </c>
      <c r="G40" s="24"/>
      <c r="H40" s="24">
        <f>G40*F40</f>
        <v>0</v>
      </c>
      <c r="I40" s="24"/>
      <c r="J40" s="24"/>
      <c r="K40" s="24"/>
      <c r="L40" s="24"/>
      <c r="M40" s="24">
        <f t="shared" si="5"/>
        <v>0</v>
      </c>
    </row>
    <row r="41" spans="1:13" s="13" customFormat="1" ht="24">
      <c r="A41" s="142">
        <v>7</v>
      </c>
      <c r="B41" s="208" t="s">
        <v>326</v>
      </c>
      <c r="C41" s="208" t="s">
        <v>327</v>
      </c>
      <c r="D41" s="50" t="s">
        <v>238</v>
      </c>
      <c r="E41" s="47"/>
      <c r="F41" s="47">
        <f>F36</f>
        <v>800</v>
      </c>
      <c r="G41" s="21"/>
      <c r="H41" s="21"/>
      <c r="I41" s="21"/>
      <c r="J41" s="21"/>
      <c r="K41" s="21"/>
      <c r="L41" s="21"/>
      <c r="M41" s="21"/>
    </row>
    <row r="42" spans="1:13">
      <c r="A42" s="22"/>
      <c r="B42" s="209" t="s">
        <v>328</v>
      </c>
      <c r="C42" s="209" t="s">
        <v>121</v>
      </c>
      <c r="D42" s="50" t="s">
        <v>238</v>
      </c>
      <c r="E42" s="48">
        <v>1</v>
      </c>
      <c r="F42" s="49">
        <f t="shared" ref="F42:F47" si="6">E42*$F$41</f>
        <v>800</v>
      </c>
      <c r="G42" s="24"/>
      <c r="H42" s="24"/>
      <c r="I42" s="24"/>
      <c r="J42" s="24">
        <f>I42*F42</f>
        <v>0</v>
      </c>
      <c r="K42" s="24"/>
      <c r="L42" s="24"/>
      <c r="M42" s="24">
        <f t="shared" ref="M42:M47" si="7">L42+J42+H42</f>
        <v>0</v>
      </c>
    </row>
    <row r="43" spans="1:13">
      <c r="A43" s="22"/>
      <c r="B43" s="209" t="s">
        <v>329</v>
      </c>
      <c r="C43" s="209" t="s">
        <v>122</v>
      </c>
      <c r="D43" s="50" t="s">
        <v>238</v>
      </c>
      <c r="E43" s="138">
        <v>1.1399999999999999</v>
      </c>
      <c r="F43" s="49">
        <f t="shared" si="6"/>
        <v>911.99999999999989</v>
      </c>
      <c r="G43" s="24"/>
      <c r="H43" s="24">
        <f>G43*F43</f>
        <v>0</v>
      </c>
      <c r="I43" s="24"/>
      <c r="J43" s="24"/>
      <c r="K43" s="24"/>
      <c r="L43" s="24"/>
      <c r="M43" s="24">
        <f t="shared" si="7"/>
        <v>0</v>
      </c>
    </row>
    <row r="44" spans="1:13">
      <c r="A44" s="22"/>
      <c r="B44" s="209" t="s">
        <v>330</v>
      </c>
      <c r="C44" s="209" t="s">
        <v>123</v>
      </c>
      <c r="D44" s="50" t="s">
        <v>238</v>
      </c>
      <c r="E44" s="138">
        <v>1.1599999999999999</v>
      </c>
      <c r="F44" s="49">
        <f t="shared" si="6"/>
        <v>927.99999999999989</v>
      </c>
      <c r="G44" s="24"/>
      <c r="H44" s="24">
        <f>G44*F44</f>
        <v>0</v>
      </c>
      <c r="I44" s="24"/>
      <c r="J44" s="24"/>
      <c r="K44" s="24"/>
      <c r="L44" s="24"/>
      <c r="M44" s="24">
        <f t="shared" si="7"/>
        <v>0</v>
      </c>
    </row>
    <row r="45" spans="1:13">
      <c r="A45" s="22"/>
      <c r="B45" s="209" t="s">
        <v>331</v>
      </c>
      <c r="C45" s="209" t="s">
        <v>332</v>
      </c>
      <c r="D45" s="210" t="s">
        <v>333</v>
      </c>
      <c r="E45" s="137">
        <v>0.56999999999999995</v>
      </c>
      <c r="F45" s="49">
        <f t="shared" si="6"/>
        <v>455.99999999999994</v>
      </c>
      <c r="G45" s="24"/>
      <c r="H45" s="24">
        <f>G45*F45</f>
        <v>0</v>
      </c>
      <c r="I45" s="24"/>
      <c r="J45" s="24"/>
      <c r="K45" s="24"/>
      <c r="L45" s="24"/>
      <c r="M45" s="24">
        <f t="shared" si="7"/>
        <v>0</v>
      </c>
    </row>
    <row r="46" spans="1:13">
      <c r="A46" s="22"/>
      <c r="B46" s="209" t="s">
        <v>334</v>
      </c>
      <c r="C46" s="209" t="s">
        <v>125</v>
      </c>
      <c r="D46" s="210" t="s">
        <v>333</v>
      </c>
      <c r="E46" s="137">
        <v>0.3</v>
      </c>
      <c r="F46" s="49">
        <f t="shared" si="6"/>
        <v>240</v>
      </c>
      <c r="G46" s="24"/>
      <c r="H46" s="24">
        <f>G46*F46</f>
        <v>0</v>
      </c>
      <c r="I46" s="24"/>
      <c r="J46" s="24"/>
      <c r="K46" s="24"/>
      <c r="L46" s="24"/>
      <c r="M46" s="24">
        <f t="shared" si="7"/>
        <v>0</v>
      </c>
    </row>
    <row r="47" spans="1:13">
      <c r="A47" s="22"/>
      <c r="B47" s="209" t="s">
        <v>250</v>
      </c>
      <c r="C47" s="209" t="s">
        <v>251</v>
      </c>
      <c r="D47" s="210" t="s">
        <v>252</v>
      </c>
      <c r="E47" s="48">
        <v>1</v>
      </c>
      <c r="F47" s="49">
        <f t="shared" si="6"/>
        <v>800</v>
      </c>
      <c r="G47" s="24"/>
      <c r="H47" s="24">
        <f>G47*F47</f>
        <v>0</v>
      </c>
      <c r="I47" s="24"/>
      <c r="J47" s="24"/>
      <c r="K47" s="24"/>
      <c r="L47" s="24"/>
      <c r="M47" s="24">
        <f t="shared" si="7"/>
        <v>0</v>
      </c>
    </row>
    <row r="48" spans="1:13" s="13" customFormat="1">
      <c r="A48" s="142">
        <v>8</v>
      </c>
      <c r="B48" s="208" t="s">
        <v>322</v>
      </c>
      <c r="C48" s="208" t="s">
        <v>323</v>
      </c>
      <c r="D48" s="50" t="s">
        <v>238</v>
      </c>
      <c r="E48" s="50"/>
      <c r="F48" s="51">
        <f>F36</f>
        <v>800</v>
      </c>
      <c r="G48" s="26"/>
      <c r="H48" s="26"/>
      <c r="I48" s="26"/>
      <c r="J48" s="26"/>
      <c r="K48" s="26"/>
      <c r="L48" s="26"/>
      <c r="M48" s="26"/>
    </row>
    <row r="49" spans="1:13" s="30" customFormat="1">
      <c r="A49" s="27"/>
      <c r="B49" s="209" t="s">
        <v>116</v>
      </c>
      <c r="C49" s="209" t="s">
        <v>237</v>
      </c>
      <c r="D49" s="53" t="s">
        <v>238</v>
      </c>
      <c r="E49" s="52">
        <v>1</v>
      </c>
      <c r="F49" s="53">
        <f>E49*F48</f>
        <v>800</v>
      </c>
      <c r="G49" s="29"/>
      <c r="H49" s="29"/>
      <c r="I49" s="29"/>
      <c r="J49" s="24">
        <f>I49*F49</f>
        <v>0</v>
      </c>
      <c r="K49" s="29"/>
      <c r="L49" s="29"/>
      <c r="M49" s="24">
        <f>L49+J49+H49</f>
        <v>0</v>
      </c>
    </row>
    <row r="50" spans="1:13" s="30" customFormat="1">
      <c r="A50" s="27"/>
      <c r="B50" s="209" t="s">
        <v>324</v>
      </c>
      <c r="C50" s="209" t="s">
        <v>325</v>
      </c>
      <c r="D50" s="53" t="s">
        <v>238</v>
      </c>
      <c r="E50" s="52">
        <v>1.05</v>
      </c>
      <c r="F50" s="53">
        <f>E50*F48</f>
        <v>840</v>
      </c>
      <c r="G50" s="29"/>
      <c r="H50" s="24">
        <f>G50*F50</f>
        <v>0</v>
      </c>
      <c r="I50" s="29"/>
      <c r="J50" s="29"/>
      <c r="K50" s="29"/>
      <c r="L50" s="29"/>
      <c r="M50" s="24">
        <f>L50+J50+H50</f>
        <v>0</v>
      </c>
    </row>
    <row r="51" spans="1:13" s="20" customFormat="1" ht="19.95" customHeight="1">
      <c r="A51" s="14"/>
      <c r="B51" s="32" t="s">
        <v>38</v>
      </c>
      <c r="C51" s="143" t="s">
        <v>39</v>
      </c>
      <c r="D51" s="1"/>
      <c r="E51" s="33"/>
      <c r="F51" s="34"/>
      <c r="G51" s="35"/>
      <c r="H51" s="35">
        <f>SUM(H9:H50)</f>
        <v>0</v>
      </c>
      <c r="I51" s="35"/>
      <c r="J51" s="35">
        <f>SUM(J9:J50)</f>
        <v>0</v>
      </c>
      <c r="K51" s="35"/>
      <c r="L51" s="35">
        <f>SUM(L9:L50)</f>
        <v>0</v>
      </c>
      <c r="M51" s="35">
        <f>SUM(M9:M50)</f>
        <v>0</v>
      </c>
    </row>
    <row r="52" spans="1:13" s="20" customFormat="1" ht="31.95" customHeight="1">
      <c r="A52" s="14"/>
      <c r="B52" s="36" t="s">
        <v>285</v>
      </c>
      <c r="C52" s="143" t="s">
        <v>286</v>
      </c>
      <c r="D52" s="37">
        <v>0</v>
      </c>
      <c r="E52" s="1"/>
      <c r="F52" s="18"/>
      <c r="G52" s="8"/>
      <c r="H52" s="8"/>
      <c r="I52" s="8"/>
      <c r="J52" s="8"/>
      <c r="K52" s="8"/>
      <c r="L52" s="8"/>
      <c r="M52" s="38">
        <f>(H51)*D52</f>
        <v>0</v>
      </c>
    </row>
    <row r="53" spans="1:13" s="20" customFormat="1" ht="19.95" customHeight="1">
      <c r="A53" s="14"/>
      <c r="B53" s="32" t="s">
        <v>38</v>
      </c>
      <c r="C53" s="143" t="s">
        <v>39</v>
      </c>
      <c r="D53" s="2"/>
      <c r="E53" s="1"/>
      <c r="F53" s="18"/>
      <c r="G53" s="8"/>
      <c r="H53" s="8"/>
      <c r="I53" s="8"/>
      <c r="J53" s="8"/>
      <c r="K53" s="8"/>
      <c r="L53" s="8"/>
      <c r="M53" s="38">
        <f>M52+M51</f>
        <v>0</v>
      </c>
    </row>
    <row r="54" spans="1:13" s="20" customFormat="1" ht="19.95" customHeight="1">
      <c r="A54" s="14"/>
      <c r="B54" s="32" t="s">
        <v>43</v>
      </c>
      <c r="C54" s="39" t="s">
        <v>44</v>
      </c>
      <c r="D54" s="2">
        <v>0</v>
      </c>
      <c r="E54" s="1"/>
      <c r="F54" s="1"/>
      <c r="G54" s="8"/>
      <c r="H54" s="8"/>
      <c r="I54" s="8"/>
      <c r="J54" s="8"/>
      <c r="K54" s="8"/>
      <c r="L54" s="8"/>
      <c r="M54" s="31">
        <f>M53*D54</f>
        <v>0</v>
      </c>
    </row>
    <row r="55" spans="1:13" s="20" customFormat="1" ht="19.95" customHeight="1">
      <c r="A55" s="14"/>
      <c r="B55" s="32" t="s">
        <v>38</v>
      </c>
      <c r="C55" s="143" t="s">
        <v>39</v>
      </c>
      <c r="D55" s="2"/>
      <c r="E55" s="1"/>
      <c r="F55" s="1"/>
      <c r="G55" s="8"/>
      <c r="H55" s="8"/>
      <c r="I55" s="8"/>
      <c r="J55" s="8"/>
      <c r="K55" s="8"/>
      <c r="L55" s="8"/>
      <c r="M55" s="38">
        <f>SUM(M53:M54)</f>
        <v>0</v>
      </c>
    </row>
    <row r="56" spans="1:13" s="20" customFormat="1" ht="19.95" customHeight="1">
      <c r="A56" s="14"/>
      <c r="B56" s="32" t="s">
        <v>45</v>
      </c>
      <c r="C56" s="39" t="s">
        <v>46</v>
      </c>
      <c r="D56" s="2">
        <v>0</v>
      </c>
      <c r="E56" s="1"/>
      <c r="F56" s="1"/>
      <c r="G56" s="8"/>
      <c r="H56" s="8"/>
      <c r="I56" s="8"/>
      <c r="J56" s="8"/>
      <c r="K56" s="8"/>
      <c r="L56" s="8"/>
      <c r="M56" s="31">
        <f>M55*D56</f>
        <v>0</v>
      </c>
    </row>
    <row r="57" spans="1:13" s="20" customFormat="1" ht="19.95" customHeight="1">
      <c r="A57" s="14"/>
      <c r="B57" s="32" t="s">
        <v>38</v>
      </c>
      <c r="C57" s="143" t="s">
        <v>39</v>
      </c>
      <c r="D57" s="2"/>
      <c r="E57" s="1"/>
      <c r="F57" s="1"/>
      <c r="G57" s="8"/>
      <c r="H57" s="8"/>
      <c r="I57" s="8"/>
      <c r="J57" s="8"/>
      <c r="K57" s="8"/>
      <c r="L57" s="8"/>
      <c r="M57" s="40">
        <f>SUM(M55:M56)</f>
        <v>0</v>
      </c>
    </row>
    <row r="58" spans="1:13" s="20" customFormat="1" ht="19.95" customHeight="1">
      <c r="A58" s="14"/>
      <c r="B58" s="32" t="s">
        <v>163</v>
      </c>
      <c r="C58" s="39" t="s">
        <v>164</v>
      </c>
      <c r="D58" s="2">
        <v>0</v>
      </c>
      <c r="E58" s="1"/>
      <c r="F58" s="1"/>
      <c r="G58" s="8"/>
      <c r="H58" s="8"/>
      <c r="I58" s="8"/>
      <c r="J58" s="8"/>
      <c r="K58" s="8"/>
      <c r="L58" s="8"/>
      <c r="M58" s="31">
        <f>M57*D58</f>
        <v>0</v>
      </c>
    </row>
    <row r="59" spans="1:13" s="20" customFormat="1" ht="19.95" customHeight="1">
      <c r="A59" s="14"/>
      <c r="B59" s="36" t="s">
        <v>38</v>
      </c>
      <c r="C59" s="36" t="s">
        <v>39</v>
      </c>
      <c r="D59" s="1" t="s">
        <v>40</v>
      </c>
      <c r="E59" s="1"/>
      <c r="F59" s="1"/>
      <c r="G59" s="8"/>
      <c r="H59" s="8"/>
      <c r="I59" s="8"/>
      <c r="J59" s="8"/>
      <c r="K59" s="8"/>
      <c r="L59" s="8"/>
      <c r="M59" s="38">
        <f>M58+M57</f>
        <v>0</v>
      </c>
    </row>
    <row r="60" spans="1:13" s="20" customFormat="1" ht="19.95" customHeight="1">
      <c r="A60" s="14"/>
      <c r="B60" s="32" t="s">
        <v>47</v>
      </c>
      <c r="C60" s="39" t="s">
        <v>48</v>
      </c>
      <c r="D60" s="2">
        <v>0.18</v>
      </c>
      <c r="E60" s="1"/>
      <c r="F60" s="1"/>
      <c r="G60" s="8"/>
      <c r="H60" s="8"/>
      <c r="I60" s="8"/>
      <c r="J60" s="8"/>
      <c r="K60" s="8"/>
      <c r="L60" s="8"/>
      <c r="M60" s="31">
        <f>M59*D60</f>
        <v>0</v>
      </c>
    </row>
    <row r="61" spans="1:13" s="20" customFormat="1" ht="25.95" customHeight="1" thickBot="1">
      <c r="A61" s="41"/>
      <c r="B61" s="42" t="s">
        <v>49</v>
      </c>
      <c r="C61" s="43" t="s">
        <v>50</v>
      </c>
      <c r="D61" s="44" t="s">
        <v>40</v>
      </c>
      <c r="E61" s="44"/>
      <c r="F61" s="44"/>
      <c r="G61" s="45"/>
      <c r="H61" s="45"/>
      <c r="I61" s="45"/>
      <c r="J61" s="45"/>
      <c r="K61" s="45"/>
      <c r="L61" s="45"/>
      <c r="M61" s="46">
        <f>SUM(M59:M60)</f>
        <v>0</v>
      </c>
    </row>
  </sheetData>
  <sheetProtection algorithmName="SHA-512" hashValue="aSdDlK94ElhscYHV/EfiIDCIYBFgZjfiIFOI5KtUVd5aMneOcr5eqDf+hnRkHALMeT3vnwAYOqLcXdlVWxGRSw==" saltValue="B5BB7wpTt9eoUmbc4CNryw==" spinCount="100000" sheet="1" objects="1" scenarios="1" formatCells="0" formatColumns="0" formatRows="0"/>
  <protectedRanges>
    <protectedRange sqref="D54 D56" name="Range4_1_1"/>
    <protectedRange sqref="D58" name="Range4_1_1_2_1"/>
    <protectedRange sqref="G7" name="Range1_5"/>
    <protectedRange sqref="I7" name="Range2_4"/>
    <protectedRange sqref="K7" name="Range3_2"/>
    <protectedRange sqref="G29" name="Range1_5_1"/>
    <protectedRange sqref="I29" name="Range2_4_1"/>
    <protectedRange sqref="K29" name="Range3_2_1"/>
  </protectedRanges>
  <mergeCells count="11">
    <mergeCell ref="M4:M5"/>
    <mergeCell ref="B1:M2"/>
    <mergeCell ref="A4:A5"/>
    <mergeCell ref="B4:B5"/>
    <mergeCell ref="C4:C5"/>
    <mergeCell ref="D4:D5"/>
    <mergeCell ref="E4:E5"/>
    <mergeCell ref="F4:F5"/>
    <mergeCell ref="G4:H4"/>
    <mergeCell ref="I4:J4"/>
    <mergeCell ref="K4: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r-concrete</vt:lpstr>
      <vt:lpstr>Optional</vt:lpstr>
      <vt:lpstr>Atrium</vt:lpstr>
      <vt:lpstr>MASONRY BLOCK </vt:lpstr>
      <vt:lpstr>Roofing</vt:lpstr>
      <vt:lpstr>Waterproofing</vt:lpstr>
      <vt:lpstr>Terrace waterproofing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2024-05-07T07:55:00Z</cp:lastPrinted>
  <dcterms:created xsi:type="dcterms:W3CDTF">2024-04-04T09:46:30Z</dcterms:created>
  <dcterms:modified xsi:type="dcterms:W3CDTF">2024-05-29T13:41:24Z</dcterms:modified>
</cp:coreProperties>
</file>