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44D56E8D-84D0-4132-B387-0076E0A1837A}" xr6:coauthVersionLast="47" xr6:coauthVersionMax="47" xr10:uidLastSave="{00000000-0000-0000-0000-000000000000}"/>
  <bookViews>
    <workbookView xWindow="28680" yWindow="-120" windowWidth="29040" windowHeight="15720" tabRatio="760" activeTab="1" xr2:uid="{00000000-000D-0000-FFFF-FFFF00000000}"/>
  </bookViews>
  <sheets>
    <sheet name="საერთო ჯამი" sheetId="1" r:id="rId1"/>
    <sheet name="WSC" sheetId="18" r:id="rId2"/>
    <sheet name="II სართული" sheetId="19" state="hidden" r:id="rId3"/>
    <sheet name="III სართული" sheetId="16" state="hidden" r:id="rId4"/>
    <sheet name="IV სართული" sheetId="11" state="hidden" r:id="rId5"/>
    <sheet name="V სართული" sheetId="17" state="hidden" r:id="rId6"/>
  </sheets>
  <definedNames>
    <definedName name="_xlnm._FilterDatabase" localSheetId="1" hidden="1">WSC!$A$7:$L$7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8" l="1"/>
  <c r="G46" i="18"/>
  <c r="K8" i="18" l="1"/>
  <c r="K9" i="18"/>
  <c r="K11" i="18"/>
  <c r="K14" i="18"/>
  <c r="K18" i="18"/>
  <c r="K22" i="18"/>
  <c r="K26" i="18"/>
  <c r="K28" i="18"/>
  <c r="K33" i="18"/>
  <c r="K34" i="18"/>
  <c r="K36" i="18"/>
  <c r="K41" i="18"/>
  <c r="K42" i="18"/>
  <c r="K43" i="18"/>
  <c r="K44" i="18"/>
  <c r="K45" i="18"/>
  <c r="K46" i="18"/>
  <c r="K47" i="18"/>
  <c r="K49" i="18"/>
  <c r="K50" i="18"/>
  <c r="K51" i="18"/>
  <c r="I8" i="18"/>
  <c r="I9" i="18"/>
  <c r="I11" i="18"/>
  <c r="I14" i="18"/>
  <c r="I18" i="18"/>
  <c r="I22" i="18"/>
  <c r="I26" i="18"/>
  <c r="I28" i="18"/>
  <c r="I33" i="18"/>
  <c r="I34" i="18"/>
  <c r="I36" i="18"/>
  <c r="I41" i="18"/>
  <c r="I42" i="18"/>
  <c r="I43" i="18"/>
  <c r="I44" i="18"/>
  <c r="I45" i="18"/>
  <c r="I46" i="18"/>
  <c r="I47" i="18"/>
  <c r="I49" i="18"/>
  <c r="I50" i="18"/>
  <c r="G8" i="18"/>
  <c r="G9" i="18"/>
  <c r="G11" i="18"/>
  <c r="G14" i="18"/>
  <c r="G18" i="18"/>
  <c r="G22" i="18"/>
  <c r="G26" i="18"/>
  <c r="G28" i="18"/>
  <c r="G33" i="18"/>
  <c r="G34" i="18"/>
  <c r="G36" i="18"/>
  <c r="G41" i="18"/>
  <c r="G42" i="18"/>
  <c r="G43" i="18"/>
  <c r="G44" i="18"/>
  <c r="G45" i="18"/>
  <c r="G47" i="18"/>
  <c r="G49" i="18"/>
  <c r="G50" i="18"/>
  <c r="G51" i="18"/>
  <c r="I51" i="18"/>
  <c r="L50" i="18" l="1"/>
  <c r="L51" i="18"/>
  <c r="L44" i="18"/>
  <c r="L9" i="18"/>
  <c r="L33" i="18"/>
  <c r="L47" i="18"/>
  <c r="L46" i="18"/>
  <c r="L45" i="18"/>
  <c r="L8" i="18"/>
  <c r="L11" i="18"/>
  <c r="L43" i="18"/>
  <c r="L49" i="18"/>
  <c r="L42" i="18"/>
  <c r="L34" i="18"/>
  <c r="L41" i="18"/>
  <c r="L36" i="18"/>
  <c r="L28" i="18"/>
  <c r="L26" i="18"/>
  <c r="L22" i="18"/>
  <c r="L18" i="18"/>
  <c r="L14" i="18"/>
  <c r="E40" i="18" l="1"/>
  <c r="G40" i="18" s="1"/>
  <c r="E38" i="18"/>
  <c r="E39" i="18"/>
  <c r="E30" i="18"/>
  <c r="E25" i="18"/>
  <c r="E24" i="18"/>
  <c r="E23" i="18"/>
  <c r="E20" i="18"/>
  <c r="E19" i="18"/>
  <c r="E17" i="18"/>
  <c r="K40" i="18" l="1"/>
  <c r="I40" i="18"/>
  <c r="K23" i="18"/>
  <c r="G23" i="18"/>
  <c r="I23" i="18"/>
  <c r="K19" i="18"/>
  <c r="I19" i="18"/>
  <c r="G19" i="18"/>
  <c r="G39" i="18"/>
  <c r="I39" i="18"/>
  <c r="K39" i="18"/>
  <c r="K38" i="18"/>
  <c r="G38" i="18"/>
  <c r="I38" i="18"/>
  <c r="K25" i="18"/>
  <c r="G25" i="18"/>
  <c r="I25" i="18"/>
  <c r="K27" i="18"/>
  <c r="I27" i="18"/>
  <c r="G27" i="18"/>
  <c r="I20" i="18"/>
  <c r="G20" i="18"/>
  <c r="K20" i="18"/>
  <c r="K29" i="18"/>
  <c r="G29" i="18"/>
  <c r="I29" i="18"/>
  <c r="I17" i="18"/>
  <c r="K17" i="18"/>
  <c r="G17" i="18"/>
  <c r="K24" i="18"/>
  <c r="G24" i="18"/>
  <c r="I24" i="18"/>
  <c r="K21" i="18"/>
  <c r="I21" i="18"/>
  <c r="G21" i="18"/>
  <c r="K30" i="18"/>
  <c r="G30" i="18"/>
  <c r="I30" i="18"/>
  <c r="K15" i="18"/>
  <c r="G15" i="18"/>
  <c r="I15" i="18"/>
  <c r="K37" i="18"/>
  <c r="G37" i="18"/>
  <c r="I37" i="18"/>
  <c r="E48" i="18"/>
  <c r="L25" i="18" l="1"/>
  <c r="L39" i="18"/>
  <c r="L20" i="18"/>
  <c r="L17" i="18"/>
  <c r="L29" i="18"/>
  <c r="L15" i="18"/>
  <c r="L21" i="18"/>
  <c r="I48" i="18"/>
  <c r="K48" i="18"/>
  <c r="G48" i="18"/>
  <c r="L38" i="18"/>
  <c r="L24" i="18"/>
  <c r="L23" i="18"/>
  <c r="L19" i="18"/>
  <c r="L37" i="18"/>
  <c r="L27" i="18"/>
  <c r="L30" i="18"/>
  <c r="L40" i="18"/>
  <c r="K16" i="18"/>
  <c r="I16" i="18"/>
  <c r="G16" i="18"/>
  <c r="L48" i="18" l="1"/>
  <c r="L16" i="18"/>
  <c r="G31" i="18" l="1"/>
  <c r="K31" i="18"/>
  <c r="I31" i="18"/>
  <c r="K12" i="18"/>
  <c r="I12" i="18"/>
  <c r="G12" i="18"/>
  <c r="E35" i="18"/>
  <c r="L12" i="18" l="1"/>
  <c r="I35" i="18"/>
  <c r="K35" i="18"/>
  <c r="G35" i="18"/>
  <c r="L31" i="18"/>
  <c r="D14" i="16"/>
  <c r="D12" i="16"/>
  <c r="D11" i="16"/>
  <c r="J10" i="16"/>
  <c r="H10" i="16"/>
  <c r="F10" i="16"/>
  <c r="L35" i="18" l="1"/>
  <c r="K10" i="16"/>
  <c r="J14" i="16"/>
  <c r="D34" i="16"/>
  <c r="J34" i="16" s="1"/>
  <c r="D33" i="16"/>
  <c r="F33" i="16" s="1"/>
  <c r="J32" i="16"/>
  <c r="H32" i="16"/>
  <c r="F32" i="16"/>
  <c r="D31" i="16"/>
  <c r="H31" i="16" s="1"/>
  <c r="D30" i="16"/>
  <c r="J30" i="16" s="1"/>
  <c r="D29" i="16"/>
  <c r="J29" i="16" s="1"/>
  <c r="D28" i="16"/>
  <c r="F28" i="16" s="1"/>
  <c r="J27" i="16"/>
  <c r="H27" i="16"/>
  <c r="F27" i="16"/>
  <c r="D16" i="16"/>
  <c r="H16" i="16" s="1"/>
  <c r="J15" i="16"/>
  <c r="H15" i="16"/>
  <c r="F15" i="16"/>
  <c r="D13" i="16"/>
  <c r="J13" i="16" s="1"/>
  <c r="F12" i="16"/>
  <c r="H11" i="16"/>
  <c r="J9" i="16"/>
  <c r="H9" i="16"/>
  <c r="F9" i="16"/>
  <c r="D66" i="16"/>
  <c r="H66" i="16" s="1"/>
  <c r="D65" i="16"/>
  <c r="F65" i="16" s="1"/>
  <c r="J64" i="16"/>
  <c r="H64" i="16"/>
  <c r="F64" i="16"/>
  <c r="D63" i="16"/>
  <c r="H63" i="16" s="1"/>
  <c r="D62" i="16"/>
  <c r="J62" i="16" s="1"/>
  <c r="D61" i="16"/>
  <c r="J61" i="16" s="1"/>
  <c r="D60" i="16"/>
  <c r="F60" i="16" s="1"/>
  <c r="J59" i="16"/>
  <c r="H59" i="16"/>
  <c r="F59" i="16"/>
  <c r="D58" i="16"/>
  <c r="H58" i="16" s="1"/>
  <c r="J57" i="16"/>
  <c r="H57" i="16"/>
  <c r="F57" i="16"/>
  <c r="D56" i="16"/>
  <c r="J56" i="16" s="1"/>
  <c r="D55" i="16"/>
  <c r="J55" i="16" s="1"/>
  <c r="D54" i="16"/>
  <c r="F54" i="16" s="1"/>
  <c r="D53" i="16"/>
  <c r="H53" i="16" s="1"/>
  <c r="D52" i="16"/>
  <c r="J52" i="16" s="1"/>
  <c r="J51" i="16"/>
  <c r="H51" i="16"/>
  <c r="F51" i="16"/>
  <c r="H65" i="16" l="1"/>
  <c r="K15" i="16"/>
  <c r="F55" i="16"/>
  <c r="J53" i="16"/>
  <c r="H55" i="16"/>
  <c r="H12" i="16"/>
  <c r="J66" i="16"/>
  <c r="J12" i="16"/>
  <c r="K32" i="16"/>
  <c r="K57" i="16"/>
  <c r="K51" i="16"/>
  <c r="F29" i="16"/>
  <c r="H29" i="16"/>
  <c r="F13" i="16"/>
  <c r="J16" i="16"/>
  <c r="H13" i="16"/>
  <c r="K59" i="16"/>
  <c r="H28" i="16"/>
  <c r="J31" i="16"/>
  <c r="F34" i="16"/>
  <c r="F58" i="16"/>
  <c r="F61" i="16"/>
  <c r="H54" i="16"/>
  <c r="J58" i="16"/>
  <c r="H61" i="16"/>
  <c r="F63" i="16"/>
  <c r="K64" i="16"/>
  <c r="F66" i="16"/>
  <c r="J11" i="16"/>
  <c r="J28" i="16"/>
  <c r="H33" i="16"/>
  <c r="H34" i="16"/>
  <c r="F53" i="16"/>
  <c r="H60" i="16"/>
  <c r="J63" i="16"/>
  <c r="K9" i="16"/>
  <c r="K27" i="16"/>
  <c r="J33" i="16"/>
  <c r="F14" i="16"/>
  <c r="F30" i="16"/>
  <c r="F11" i="16"/>
  <c r="H14" i="16"/>
  <c r="F16" i="16"/>
  <c r="H30" i="16"/>
  <c r="F31" i="16"/>
  <c r="F52" i="16"/>
  <c r="J54" i="16"/>
  <c r="F56" i="16"/>
  <c r="J60" i="16"/>
  <c r="F62" i="16"/>
  <c r="J65" i="16"/>
  <c r="H52" i="16"/>
  <c r="H56" i="16"/>
  <c r="H62" i="16"/>
  <c r="K65" i="16" l="1"/>
  <c r="K53" i="16"/>
  <c r="K34" i="16"/>
  <c r="K55" i="16"/>
  <c r="K12" i="16"/>
  <c r="K33" i="16"/>
  <c r="K13" i="16"/>
  <c r="K30" i="16"/>
  <c r="K66" i="16"/>
  <c r="K11" i="16"/>
  <c r="K16" i="16"/>
  <c r="K31" i="16"/>
  <c r="K62" i="16"/>
  <c r="K61" i="16"/>
  <c r="K63" i="16"/>
  <c r="K60" i="16"/>
  <c r="K14" i="16"/>
  <c r="K28" i="16"/>
  <c r="K29" i="16"/>
  <c r="K52" i="16"/>
  <c r="K56" i="16"/>
  <c r="K54" i="16"/>
  <c r="K58" i="16"/>
  <c r="D35" i="16" l="1"/>
  <c r="J35" i="16" s="1"/>
  <c r="J10" i="17"/>
  <c r="J13" i="17"/>
  <c r="J14" i="17"/>
  <c r="J21" i="17"/>
  <c r="J23" i="17"/>
  <c r="J27" i="17"/>
  <c r="J28" i="17"/>
  <c r="J29" i="17"/>
  <c r="J31" i="17"/>
  <c r="J33" i="17"/>
  <c r="J34" i="17"/>
  <c r="J37" i="17"/>
  <c r="J39" i="17"/>
  <c r="J40" i="17"/>
  <c r="K40" i="17" s="1"/>
  <c r="J41" i="17"/>
  <c r="H10" i="17"/>
  <c r="H13" i="17"/>
  <c r="H14" i="17"/>
  <c r="H21" i="17"/>
  <c r="H23" i="17"/>
  <c r="H27" i="17"/>
  <c r="H28" i="17"/>
  <c r="H29" i="17"/>
  <c r="H31" i="17"/>
  <c r="H33" i="17"/>
  <c r="H34" i="17"/>
  <c r="H37" i="17"/>
  <c r="H39" i="17"/>
  <c r="H40" i="17"/>
  <c r="H41" i="17"/>
  <c r="F10" i="17"/>
  <c r="F13" i="17"/>
  <c r="F14" i="17"/>
  <c r="F21" i="17"/>
  <c r="F23" i="17"/>
  <c r="F27" i="17"/>
  <c r="F28" i="17"/>
  <c r="F29" i="17"/>
  <c r="F31" i="17"/>
  <c r="F33" i="17"/>
  <c r="F34" i="17"/>
  <c r="F37" i="17"/>
  <c r="F39" i="17"/>
  <c r="F40" i="17"/>
  <c r="F41" i="17"/>
  <c r="D26" i="17"/>
  <c r="J26" i="17" s="1"/>
  <c r="D25" i="17"/>
  <c r="J25" i="17" s="1"/>
  <c r="D24" i="17"/>
  <c r="J24" i="17" s="1"/>
  <c r="K27" i="17" l="1"/>
  <c r="K33" i="17"/>
  <c r="K13" i="17"/>
  <c r="K41" i="17"/>
  <c r="K34" i="17"/>
  <c r="K28" i="17"/>
  <c r="K14" i="17"/>
  <c r="K39" i="17"/>
  <c r="K31" i="17"/>
  <c r="K23" i="17"/>
  <c r="K10" i="17"/>
  <c r="K37" i="17"/>
  <c r="K29" i="17"/>
  <c r="K21" i="17"/>
  <c r="F26" i="17"/>
  <c r="H26" i="17"/>
  <c r="F25" i="17"/>
  <c r="H25" i="17"/>
  <c r="K25" i="17" s="1"/>
  <c r="F24" i="17"/>
  <c r="H24" i="17"/>
  <c r="K24" i="17" s="1"/>
  <c r="H35" i="16"/>
  <c r="F35" i="16"/>
  <c r="K26" i="17" l="1"/>
  <c r="K35" i="16"/>
  <c r="E32" i="18"/>
  <c r="I32" i="18" l="1"/>
  <c r="K32" i="18"/>
  <c r="G32" i="18"/>
  <c r="D20" i="19"/>
  <c r="H20" i="19" s="1"/>
  <c r="J19" i="19"/>
  <c r="H19" i="19"/>
  <c r="F19" i="19"/>
  <c r="D18" i="19"/>
  <c r="F18" i="19" s="1"/>
  <c r="D17" i="19"/>
  <c r="H17" i="19" s="1"/>
  <c r="J16" i="19"/>
  <c r="H16" i="19"/>
  <c r="F16" i="19"/>
  <c r="D15" i="19"/>
  <c r="J15" i="19" s="1"/>
  <c r="D14" i="19"/>
  <c r="H14" i="19" s="1"/>
  <c r="D13" i="19"/>
  <c r="F13" i="19" s="1"/>
  <c r="D12" i="19"/>
  <c r="H12" i="19" s="1"/>
  <c r="D11" i="19"/>
  <c r="J11" i="19" s="1"/>
  <c r="D10" i="19"/>
  <c r="H10" i="19" s="1"/>
  <c r="J9" i="19"/>
  <c r="H9" i="19"/>
  <c r="F9" i="19"/>
  <c r="J8" i="19"/>
  <c r="H8" i="19"/>
  <c r="F8" i="19"/>
  <c r="D20" i="11"/>
  <c r="J10" i="11"/>
  <c r="J11" i="11"/>
  <c r="J13" i="11"/>
  <c r="J14" i="11"/>
  <c r="J19" i="11"/>
  <c r="J26" i="11"/>
  <c r="J29" i="11"/>
  <c r="J31" i="11"/>
  <c r="H10" i="11"/>
  <c r="H11" i="11"/>
  <c r="H13" i="11"/>
  <c r="H14" i="11"/>
  <c r="H19" i="11"/>
  <c r="H26" i="11"/>
  <c r="H29" i="11"/>
  <c r="H31" i="11"/>
  <c r="F10" i="11"/>
  <c r="F11" i="11"/>
  <c r="K11" i="11" s="1"/>
  <c r="F13" i="11"/>
  <c r="F14" i="11"/>
  <c r="F19" i="11"/>
  <c r="K19" i="11" s="1"/>
  <c r="F26" i="11"/>
  <c r="F29" i="11"/>
  <c r="F31" i="11"/>
  <c r="K31" i="11" s="1"/>
  <c r="D18" i="11"/>
  <c r="J18" i="11" s="1"/>
  <c r="D17" i="11"/>
  <c r="F17" i="11" s="1"/>
  <c r="D16" i="11"/>
  <c r="F16" i="11" s="1"/>
  <c r="D15" i="11"/>
  <c r="H15" i="11" s="1"/>
  <c r="L32" i="18" l="1"/>
  <c r="K16" i="19"/>
  <c r="H13" i="19"/>
  <c r="F10" i="19"/>
  <c r="F12" i="19"/>
  <c r="H18" i="19"/>
  <c r="K9" i="19"/>
  <c r="J10" i="19"/>
  <c r="J12" i="19"/>
  <c r="F14" i="19"/>
  <c r="F17" i="19"/>
  <c r="F20" i="19"/>
  <c r="K8" i="19"/>
  <c r="J14" i="19"/>
  <c r="J17" i="19"/>
  <c r="K19" i="19"/>
  <c r="J20" i="19"/>
  <c r="F11" i="19"/>
  <c r="J13" i="19"/>
  <c r="K13" i="19" s="1"/>
  <c r="F15" i="19"/>
  <c r="J18" i="19"/>
  <c r="H11" i="19"/>
  <c r="H15" i="19"/>
  <c r="J17" i="11"/>
  <c r="F18" i="11"/>
  <c r="J15" i="11"/>
  <c r="F15" i="11"/>
  <c r="K15" i="11" s="1"/>
  <c r="H18" i="11"/>
  <c r="K26" i="11"/>
  <c r="K14" i="11"/>
  <c r="K10" i="11"/>
  <c r="H17" i="11"/>
  <c r="J16" i="11"/>
  <c r="K29" i="11"/>
  <c r="K13" i="11"/>
  <c r="H16" i="11"/>
  <c r="D25" i="11"/>
  <c r="D24" i="11"/>
  <c r="D23" i="11"/>
  <c r="D22" i="11"/>
  <c r="D21" i="11"/>
  <c r="D28" i="11"/>
  <c r="D30" i="11"/>
  <c r="D11" i="17"/>
  <c r="D30" i="17"/>
  <c r="D16" i="17"/>
  <c r="D15" i="17"/>
  <c r="D22" i="17"/>
  <c r="K16" i="11" l="1"/>
  <c r="J11" i="17"/>
  <c r="H11" i="17"/>
  <c r="F11" i="17"/>
  <c r="J22" i="17"/>
  <c r="H22" i="17"/>
  <c r="F22" i="17"/>
  <c r="J15" i="17"/>
  <c r="H15" i="17"/>
  <c r="F15" i="17"/>
  <c r="J16" i="17"/>
  <c r="H16" i="17"/>
  <c r="F16" i="17"/>
  <c r="J30" i="17"/>
  <c r="H30" i="17"/>
  <c r="F30" i="17"/>
  <c r="K18" i="11"/>
  <c r="K12" i="19"/>
  <c r="K10" i="19"/>
  <c r="K14" i="19"/>
  <c r="H21" i="19"/>
  <c r="K29" i="19" s="1"/>
  <c r="K15" i="19"/>
  <c r="F21" i="19"/>
  <c r="K20" i="19"/>
  <c r="K18" i="19"/>
  <c r="K17" i="19"/>
  <c r="K11" i="19"/>
  <c r="J21" i="19"/>
  <c r="K17" i="11"/>
  <c r="F21" i="11"/>
  <c r="H21" i="11"/>
  <c r="J21" i="11"/>
  <c r="J30" i="11"/>
  <c r="F30" i="11"/>
  <c r="H30" i="11"/>
  <c r="F25" i="11"/>
  <c r="H25" i="11"/>
  <c r="J25" i="11"/>
  <c r="J22" i="11"/>
  <c r="F22" i="11"/>
  <c r="H22" i="11"/>
  <c r="F28" i="11"/>
  <c r="H28" i="11"/>
  <c r="J28" i="11"/>
  <c r="H23" i="11"/>
  <c r="J23" i="11"/>
  <c r="F23" i="11"/>
  <c r="F20" i="11"/>
  <c r="H20" i="11"/>
  <c r="J20" i="11"/>
  <c r="F24" i="11"/>
  <c r="H24" i="11"/>
  <c r="J24" i="11"/>
  <c r="K15" i="17" l="1"/>
  <c r="K30" i="17"/>
  <c r="K22" i="17"/>
  <c r="K16" i="17"/>
  <c r="K11" i="17"/>
  <c r="K21" i="19"/>
  <c r="K22" i="19" s="1"/>
  <c r="K23" i="19" s="1"/>
  <c r="K25" i="11"/>
  <c r="K24" i="11"/>
  <c r="K23" i="11"/>
  <c r="K20" i="11"/>
  <c r="K22" i="11"/>
  <c r="K28" i="11"/>
  <c r="K30" i="11"/>
  <c r="K21" i="11"/>
  <c r="K24" i="19" l="1"/>
  <c r="K25" i="19" s="1"/>
  <c r="K26" i="19" s="1"/>
  <c r="K27" i="19" s="1"/>
  <c r="K28" i="19" s="1"/>
  <c r="K30" i="19" s="1"/>
  <c r="K31" i="19" s="1"/>
  <c r="K32" i="19" s="1"/>
  <c r="I4" i="19" s="1"/>
  <c r="H36" i="16" l="1"/>
  <c r="K44" i="16" s="1"/>
  <c r="F36" i="16"/>
  <c r="D32" i="11"/>
  <c r="D27" i="11"/>
  <c r="D12" i="11"/>
  <c r="J9" i="11"/>
  <c r="H9" i="11"/>
  <c r="F9" i="11"/>
  <c r="H27" i="11" l="1"/>
  <c r="J27" i="11"/>
  <c r="F27" i="11"/>
  <c r="F12" i="11"/>
  <c r="H12" i="11"/>
  <c r="J12" i="11"/>
  <c r="F32" i="11"/>
  <c r="H32" i="11"/>
  <c r="J32" i="11"/>
  <c r="K36" i="16"/>
  <c r="K37" i="16" s="1"/>
  <c r="K38" i="16" s="1"/>
  <c r="J36" i="16"/>
  <c r="K9" i="11"/>
  <c r="K12" i="11" l="1"/>
  <c r="K27" i="11"/>
  <c r="K32" i="11"/>
  <c r="K39" i="16"/>
  <c r="K40" i="16" s="1"/>
  <c r="K41" i="16" l="1"/>
  <c r="K42" i="16" s="1"/>
  <c r="K43" i="16" s="1"/>
  <c r="K45" i="16" s="1"/>
  <c r="K46" i="16" s="1"/>
  <c r="K47" i="16" s="1"/>
  <c r="H33" i="11"/>
  <c r="K41" i="11" s="1"/>
  <c r="F33" i="11"/>
  <c r="J33" i="11"/>
  <c r="D38" i="17"/>
  <c r="D36" i="17"/>
  <c r="D35" i="17"/>
  <c r="D32" i="17"/>
  <c r="D20" i="17"/>
  <c r="D19" i="17"/>
  <c r="D18" i="17"/>
  <c r="D17" i="17"/>
  <c r="J9" i="17"/>
  <c r="H9" i="17"/>
  <c r="F9" i="17"/>
  <c r="J36" i="17" l="1"/>
  <c r="H36" i="17"/>
  <c r="F36" i="17"/>
  <c r="J35" i="17"/>
  <c r="H35" i="17"/>
  <c r="F35" i="17"/>
  <c r="J38" i="17"/>
  <c r="H38" i="17"/>
  <c r="F38" i="17"/>
  <c r="J17" i="17"/>
  <c r="H17" i="17"/>
  <c r="F17" i="17"/>
  <c r="J18" i="17"/>
  <c r="H18" i="17"/>
  <c r="F18" i="17"/>
  <c r="J19" i="17"/>
  <c r="F19" i="17"/>
  <c r="H19" i="17"/>
  <c r="J32" i="17"/>
  <c r="H32" i="17"/>
  <c r="F32" i="17"/>
  <c r="J20" i="17"/>
  <c r="H20" i="17"/>
  <c r="F20" i="17"/>
  <c r="I4" i="16"/>
  <c r="K33" i="11"/>
  <c r="K34" i="11" s="1"/>
  <c r="K35" i="11" s="1"/>
  <c r="K36" i="11" s="1"/>
  <c r="D12" i="17"/>
  <c r="K9" i="17"/>
  <c r="K19" i="17" l="1"/>
  <c r="K20" i="17"/>
  <c r="K35" i="17"/>
  <c r="J12" i="17"/>
  <c r="H12" i="17"/>
  <c r="H42" i="17" s="1"/>
  <c r="F12" i="17"/>
  <c r="K18" i="17"/>
  <c r="K17" i="17"/>
  <c r="K38" i="17"/>
  <c r="K32" i="17"/>
  <c r="K36" i="17"/>
  <c r="K37" i="11"/>
  <c r="K38" i="11" s="1"/>
  <c r="K39" i="11" s="1"/>
  <c r="K40" i="11" s="1"/>
  <c r="K42" i="11" s="1"/>
  <c r="K43" i="11" s="1"/>
  <c r="K44" i="11" s="1"/>
  <c r="K12" i="17" l="1"/>
  <c r="I4" i="11"/>
  <c r="F42" i="17"/>
  <c r="K50" i="17"/>
  <c r="J42" i="17"/>
  <c r="K42" i="17" l="1"/>
  <c r="K43" i="17" s="1"/>
  <c r="K44" i="17" s="1"/>
  <c r="K45" i="17" s="1"/>
  <c r="K46" i="17" s="1"/>
  <c r="K47" i="17" l="1"/>
  <c r="K48" i="17" s="1"/>
  <c r="K49" i="17" s="1"/>
  <c r="K51" i="17" s="1"/>
  <c r="K52" i="17" s="1"/>
  <c r="K53" i="17" s="1"/>
  <c r="I4" i="17" l="1"/>
  <c r="G53" i="18"/>
  <c r="K53" i="18"/>
  <c r="I53" i="18"/>
  <c r="L61" i="18" s="1"/>
  <c r="L53" i="18" l="1"/>
  <c r="L54" i="18" s="1"/>
  <c r="L55" i="18" s="1"/>
  <c r="L56" i="18" s="1"/>
  <c r="L57" i="18" s="1"/>
  <c r="L58" i="18" l="1"/>
  <c r="L59" i="18" s="1"/>
  <c r="L60" i="18" s="1"/>
  <c r="L62" i="18" s="1"/>
  <c r="L63" i="18" s="1"/>
  <c r="L64" i="18" s="1"/>
  <c r="C8" i="1" s="1"/>
  <c r="C12" i="1" s="1"/>
  <c r="J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30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აქ შეიძლება იაფიანი საღებავიც გამოვიყენოთ 8,27 იანი</t>
        </r>
      </text>
    </comment>
    <comment ref="E37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210 კვადრატია იატაკი, დანარჩენი კი სველი წერტილებია</t>
        </r>
      </text>
    </comment>
  </commentList>
</comments>
</file>

<file path=xl/sharedStrings.xml><?xml version="1.0" encoding="utf-8"?>
<sst xmlns="http://schemas.openxmlformats.org/spreadsheetml/2006/main" count="455" uniqueCount="137">
  <si>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</si>
  <si>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</si>
  <si>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</si>
  <si>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</si>
  <si>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</si>
  <si>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</si>
  <si>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</si>
  <si>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</si>
  <si>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</si>
  <si>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</si>
  <si>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</si>
  <si>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</si>
  <si>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</si>
  <si>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</si>
  <si>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</si>
  <si>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</si>
  <si>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</si>
  <si>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</si>
  <si>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</si>
  <si>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გაუთვალისწინებელი ხარჯები</t>
  </si>
  <si>
    <r>
      <rPr>
        <b/>
        <sz val="10"/>
        <color theme="1"/>
        <rFont val="Cambria"/>
        <family val="1"/>
        <charset val="204"/>
      </rPr>
      <t>l</t>
    </r>
    <r>
      <rPr>
        <b/>
        <sz val="10"/>
        <color theme="1"/>
        <rFont val="Sylfaen"/>
        <family val="1"/>
        <charset val="204"/>
      </rPr>
      <t>.   სადემონტაჟო სამუშაოები</t>
    </r>
  </si>
  <si>
    <r>
      <rPr>
        <b/>
        <sz val="10"/>
        <color theme="1"/>
        <rFont val="Cambria"/>
        <family val="1"/>
        <charset val="204"/>
      </rPr>
      <t>ll</t>
    </r>
    <r>
      <rPr>
        <b/>
        <sz val="10"/>
        <color theme="1"/>
        <rFont val="Sylfaen"/>
        <family val="1"/>
        <charset val="204"/>
      </rPr>
      <t>. სამშენებლო-სამონტაჟო სამუშაოები</t>
    </r>
  </si>
  <si>
    <t xml:space="preserve">სახარჯთაღრიცხვო  ღირ-ბა              </t>
  </si>
  <si>
    <t>ტონ</t>
  </si>
  <si>
    <t>სამშენებლო ნარჩენების შეგროვება-დატვირთვა ა/მ-ზე</t>
  </si>
  <si>
    <t>სამშენებლო ნარჩენების ტრანსპორტირება 20 კმ-ზე</t>
  </si>
  <si>
    <t>N</t>
  </si>
  <si>
    <t>ცალ</t>
  </si>
  <si>
    <t>საპენსიო დანარიცხი</t>
  </si>
  <si>
    <t xml:space="preserve">ფითხი   </t>
  </si>
  <si>
    <t xml:space="preserve">ზუმფარა     0.009 </t>
  </si>
  <si>
    <t xml:space="preserve">კედლებზე ლამინირებული დამცავი ბამპერების მოწყობა </t>
  </si>
  <si>
    <t>ლამინირებული "დსპ"  200 მმ * 12 მმ</t>
  </si>
  <si>
    <t>თხევადი ლურსმანი 310 მლ</t>
  </si>
  <si>
    <t>ხრახნი 3 მმ</t>
  </si>
  <si>
    <t xml:space="preserve">    სამშენებლო სარემონტო სამუშაოები </t>
  </si>
  <si>
    <t xml:space="preserve">სამღებრო კუთხოვანა  </t>
  </si>
  <si>
    <t xml:space="preserve">სამღებრო ბადე ლენტა  </t>
  </si>
  <si>
    <t>სილიკონი 310 მლგ</t>
  </si>
  <si>
    <t>საიზოლაციო ლენტი იატაკის პროფილზე</t>
  </si>
  <si>
    <t>საღებავი წმენდადი  RAL 9003 (დამკვეთთან შეთანხმება)</t>
  </si>
  <si>
    <t>საღებავის გრუნტი</t>
  </si>
  <si>
    <t xml:space="preserve">თაბ.მუყ. ნესტგამძლე ფილა </t>
  </si>
  <si>
    <t>2022 წლის 9 სექტემბერი</t>
  </si>
  <si>
    <t>ქუთაისი, ოცხელის ქ. № 2 რეფერალური ჰოსპიტალი</t>
  </si>
  <si>
    <t>2022 წლის  9 სექტემბერი</t>
  </si>
  <si>
    <t>კედლის ფენილების გასუფთავება</t>
  </si>
  <si>
    <t>საოპერაციო კარების დემონტაჟი</t>
  </si>
  <si>
    <t xml:space="preserve">  V სართული                                                                                                </t>
  </si>
  <si>
    <t xml:space="preserve">ტიხრებისა და კედლების დამუშავება/შეღებვა </t>
  </si>
  <si>
    <t>საღებავი წმენდადი, ანტიბაქტერიული</t>
  </si>
  <si>
    <t>ჰერმეტული კარი ზომებით 210x150 (დიდი ზომის)</t>
  </si>
  <si>
    <t>ჰერმეტული კარი ზომებით 210x100 (მცირე ზომის)</t>
  </si>
  <si>
    <t>ალუმინის 25x25x0.7 მმ კუთხოვანა</t>
  </si>
  <si>
    <r>
      <t xml:space="preserve">ტიხრების წიბოების დამცავი ალუმინის 25x25x0.7 მმ კუთხოვანას მოწყობა </t>
    </r>
    <r>
      <rPr>
        <sz val="10"/>
        <color theme="1"/>
        <rFont val="Sylfaen"/>
        <family val="1"/>
      </rPr>
      <t>(70 სმ. სიმაღლეზე)</t>
    </r>
  </si>
  <si>
    <t>ბოქსირებული პალატის ლამინირებული PVC მდფ  (სამედიცინო სფეროსათვის განკუთვნილი) კარის ბლოკის ნაწილობრივი დამუშავება/შეღებვა</t>
  </si>
  <si>
    <t xml:space="preserve">საოპერაციოში დამონტაჟებული ონკანის ჩამრთველის </t>
  </si>
  <si>
    <t>პლასტიკატის ჭერის დემონტაჟი პალატების საპირფარეშოებში</t>
  </si>
  <si>
    <t xml:space="preserve">IV სართული                                                                                          </t>
  </si>
  <si>
    <t>კედლის ფენილების გასუფთავება დერეფანსა და ზოგიერთ პალატაში</t>
  </si>
  <si>
    <t>პლასტიკატის ჭერის მონტაჟი პალატების საპირფარეშოებში</t>
  </si>
  <si>
    <t>პლასტიკატის ფილა</t>
  </si>
  <si>
    <t>პლასტიკატის ჭერის P პროფილი</t>
  </si>
  <si>
    <t>ხრახნი</t>
  </si>
  <si>
    <t xml:space="preserve">კედლების დამუშავება/შეღებვა </t>
  </si>
  <si>
    <t>ბოქსირებული პალატის მოწყობა 309 ოთახში</t>
  </si>
  <si>
    <t xml:space="preserve"> III სართული                                                                                       </t>
  </si>
  <si>
    <t xml:space="preserve">II სართული                                                                                          </t>
  </si>
  <si>
    <t>სამშენებლო ნარჩენების შეგროვება-დატვირთვა ა/მ-ზე და ტრანსპორტირება 15 კმ-ზე</t>
  </si>
  <si>
    <t xml:space="preserve">საღებავი ლითონის ანტიბაქტერიული </t>
  </si>
  <si>
    <t>ლითონის კარის ზედაპირების გასუფთავება/დამუშავება/შეღებვა</t>
  </si>
  <si>
    <t xml:space="preserve">ზუმფარა     </t>
  </si>
  <si>
    <t xml:space="preserve"> სამშენებლო-სამონტაჟო სამუშაოები</t>
  </si>
  <si>
    <r>
      <t>მ</t>
    </r>
    <r>
      <rPr>
        <sz val="8"/>
        <color theme="1"/>
        <rFont val="Cambria"/>
        <family val="1"/>
        <charset val="204"/>
      </rPr>
      <t>²</t>
    </r>
  </si>
  <si>
    <r>
      <t>მ</t>
    </r>
    <r>
      <rPr>
        <sz val="8"/>
        <color theme="1"/>
        <rFont val="Sylfaen"/>
        <family val="1"/>
      </rPr>
      <t>³</t>
    </r>
  </si>
  <si>
    <t>წმენდადი, ანტიბაქტერული ჰერმეტული კარების მონტაჟი საოპერაციოებში</t>
  </si>
  <si>
    <t>სამშენებლო ნარჩენების შეგროვება-დატვირთვა ა/მ-ზე სამშენებლო ნარჩენების ტრანსპორტირება 20 კმ-ზე</t>
  </si>
  <si>
    <t>თ/მუყაოს მოპირკეთება და ჭერის მოწყობა</t>
  </si>
  <si>
    <t xml:space="preserve">თაბ.მუყ. ფილა </t>
  </si>
  <si>
    <t>პროფილები დგარის CW 75*0,5 მმ, მიმმართვ. UW75*0,5; ხრახნები, გამჭედი დუბელი და სხვა მასალები 1მ² ტიხარზე</t>
  </si>
  <si>
    <t>პროფილი CD 27/60/27/0.50; UD 0.50 და  ხრახნები, გამჭედი დუბელი და სხვა მასალები 1მ² მოპირკეთებაზე</t>
  </si>
  <si>
    <t>საიზოლაციო მასალა  ქვაბამბა 50 მმ</t>
  </si>
  <si>
    <t xml:space="preserve">ტიხრების, კედლებისა და ჭერის დამუშავება-შეღებვა </t>
  </si>
  <si>
    <t>თ/მუყაოს ტიხრის მოწყობა</t>
  </si>
  <si>
    <t>თ/მუყაოს ჭერის მოწყობა</t>
  </si>
  <si>
    <r>
      <rPr>
        <b/>
        <sz val="10"/>
        <color theme="1"/>
        <rFont val="Cambria"/>
        <family val="1"/>
        <charset val="204"/>
      </rPr>
      <t>l</t>
    </r>
    <r>
      <rPr>
        <b/>
        <sz val="10"/>
        <color theme="1"/>
        <rFont val="Sylfaen"/>
        <family val="1"/>
        <charset val="204"/>
      </rPr>
      <t>.  სადემონტაჟო სამუშაოები</t>
    </r>
  </si>
  <si>
    <r>
      <rPr>
        <b/>
        <sz val="10"/>
        <color theme="1"/>
        <rFont val="Cambria"/>
        <family val="1"/>
        <charset val="204"/>
      </rPr>
      <t>ll</t>
    </r>
    <r>
      <rPr>
        <b/>
        <sz val="10"/>
        <color theme="1"/>
        <rFont val="Sylfaen"/>
        <family val="1"/>
        <charset val="204"/>
      </rPr>
      <t>. აღდგენითი სამუშაოები</t>
    </r>
  </si>
  <si>
    <t xml:space="preserve">ზუმფარა  0.009 </t>
  </si>
  <si>
    <t>მ³</t>
  </si>
  <si>
    <t xml:space="preserve">ქვიშა   (მასალის აზიდვით)                </t>
  </si>
  <si>
    <t xml:space="preserve">ცემენტი   (მასალის აზიდვით) </t>
  </si>
  <si>
    <t xml:space="preserve">თაბ.მუყ. ფილა  ჩვეულებრივი სისქე 12.5მმ   </t>
  </si>
  <si>
    <t>პროფილები ჭერის  მიმმართვ.  სწრაფმონტირებადი ხრახნები TN25, TN35, გამჭედი დუბელი და სხვა მასალები 1მ² ჭერზე</t>
  </si>
  <si>
    <t>პროფილები დგარის CW 75*0,5 მმ, მიმმართვ. UW75*0,5; სწრაფმონტირებადი ხრახნები TN25 და TN35, გამჭედი დუბელი და სხვა მასალები 1მ² ტიხარზე</t>
  </si>
  <si>
    <t>კაფელი (დამკვეთთან შეთანხმება)</t>
  </si>
  <si>
    <t>წებოცემენტი</t>
  </si>
  <si>
    <t>სამონაჟო პლასტიკ აქსესუარი</t>
  </si>
  <si>
    <t xml:space="preserve">თაბ.მუყაოს ტიხრის მოწყობა ბგერათბო იზოლაციით </t>
  </si>
  <si>
    <t>ელ.ჩამრთველებისა და როზეტების მონტაჟი</t>
  </si>
  <si>
    <t>სპილენძის ძარღვიანი კაბელი, ორმაგი არაალებადი იზოლაციის, კვეთით 3X1,5 მმ² გოფრირებულ მილში გატარებით</t>
  </si>
  <si>
    <t>გრძ.მ.</t>
  </si>
  <si>
    <t>იგივე 3X2,5 მმ²  გოფრირებულ მილში გატარებით</t>
  </si>
  <si>
    <t>გრძ..მ</t>
  </si>
  <si>
    <t>ელექტრო გამანაწილებლი კოლოფები</t>
  </si>
  <si>
    <t>ცალი</t>
  </si>
  <si>
    <t>გოფრირებული პლასტმასის მილები</t>
  </si>
  <si>
    <t>უნიტაზის მონტაჟი ჩამრეცხით  არკოს ტიპის ონკანით, დრეკადი მილით კომპლექტში</t>
  </si>
  <si>
    <t>ხელსაბანი ნიჟარის მონტაჟი, არკოს კრანებით,  შემრევით, დრეკადი მილებით, სიფონით  კომპლექტში (დამკვეთთან შეთანხმებით)</t>
  </si>
  <si>
    <t>კედლისა და იატაკის მპირკეთება კერამიკული ფილებით</t>
  </si>
  <si>
    <t>კრებსითი ხარჯთაღრიცხვა</t>
  </si>
  <si>
    <t xml:space="preserve">VI სართული საოპერაციო სივრცის სარემონტო სამუშაოები          </t>
  </si>
  <si>
    <t>რეანიმაცია</t>
  </si>
  <si>
    <t xml:space="preserve">ქვიშა-ცემენტის მჭიმის მოწყობა იატაკებზე  </t>
  </si>
  <si>
    <t>სილიკონური რეცხვადი ანტიბაქტერიული საღებავი ყველა ბრენდი რომელსაც გააჩნია უვნებლობის სერთიფიკატი და დაშვებულია სამედიცინო სფეროში გამოსაყენებლად არა ნაკლები ხარისხის CAPAROL SAMTEX</t>
  </si>
  <si>
    <t>ვენტილაცია</t>
  </si>
  <si>
    <t>აირები</t>
  </si>
  <si>
    <t>დამხმარე მუშა</t>
  </si>
  <si>
    <t>დღე</t>
  </si>
  <si>
    <t>სველი წერტილის მოწყობა</t>
  </si>
  <si>
    <t>წერტილი</t>
  </si>
  <si>
    <t>მეტალოპლასმასის კარები სვსლი წერტილისთვის 75/210</t>
  </si>
  <si>
    <t xml:space="preserve">კედელზე მოწყობა თაბაშირ მუყაოს  ფილებით </t>
  </si>
  <si>
    <t>ამსტრონგის ჭერის მოწყობა</t>
  </si>
  <si>
    <t>კვ.მ</t>
  </si>
  <si>
    <t>კედლებისა  დამუშავება-შეღებვა</t>
  </si>
  <si>
    <t>დასავლეთ საქართველოს სამედიცინო ცენტრი</t>
  </si>
  <si>
    <t>კარებების ირგვლივ ამოლესვა</t>
  </si>
  <si>
    <t>გრუჰტი საღებავის</t>
  </si>
  <si>
    <t xml:space="preserve">სამიანოს განყოფილების რეკონსტრუქცია                                                                       </t>
  </si>
  <si>
    <t>ფორმა 2</t>
  </si>
  <si>
    <t>თ/მ ტიხრის დემონტაჟი</t>
  </si>
  <si>
    <t>მეტალოპლასმასის 'ვიტრაჟი" 150/100</t>
  </si>
  <si>
    <t>გრ,მ</t>
  </si>
  <si>
    <t xml:space="preserve">თაბ.მუყ. ფილა  სისქე 12.5მმ   </t>
  </si>
  <si>
    <t>მდფ კარის ბლოკი  210/140</t>
  </si>
  <si>
    <t>კარიდორისთვის ბეტონის კედელში ღიობის გამოჭრა</t>
  </si>
  <si>
    <t>ფოტოსურათი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</si>
</sst>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0"/>
      <color theme="1"/>
      <name val="Cambria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8"/>
      <color theme="1"/>
      <name val="Sylfaen"/>
      <family val="1"/>
    </font>
    <font>
      <sz val="10"/>
      <color theme="1"/>
      <name val="Arial"/>
      <family val="2"/>
      <charset val="204"/>
    </font>
    <font>
      <b/>
      <sz val="9"/>
      <color theme="1"/>
      <name val="Sylfaen"/>
      <family val="1"/>
    </font>
    <font>
      <sz val="9"/>
      <color theme="1"/>
      <name val="Calibri"/>
      <family val="2"/>
      <scheme val="minor"/>
    </font>
    <font>
      <b/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8"/>
      <color theme="1"/>
      <name val="Sylfaen"/>
      <family val="1"/>
    </font>
    <font>
      <b/>
      <sz val="8"/>
      <color theme="1"/>
      <name val="Sylfaen"/>
      <family val="1"/>
      <charset val="204"/>
    </font>
    <font>
      <sz val="8"/>
      <color theme="1"/>
      <name val="Cambria"/>
      <family val="1"/>
      <charset val="204"/>
    </font>
    <font>
      <sz val="10"/>
      <name val="Sylfaen"/>
      <family val="1"/>
    </font>
    <font>
      <sz val="8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b/>
      <sz val="14"/>
      <color theme="1"/>
      <name val="Sylfaen"/>
      <family val="1"/>
    </font>
    <font>
      <sz val="10"/>
      <name val="Arial"/>
      <family val="2"/>
    </font>
    <font>
      <sz val="10"/>
      <name val="Sylfaen"/>
      <family val="1"/>
      <charset val="204"/>
    </font>
    <font>
      <b/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2" fontId="9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2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4" fillId="3" borderId="1" xfId="0" applyFont="1" applyFill="1" applyBorder="1" applyAlignment="1">
      <alignment horizontal="left" wrapText="1"/>
    </xf>
    <xf numFmtId="2" fontId="7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vertical="center" wrapText="1"/>
    </xf>
    <xf numFmtId="4" fontId="15" fillId="0" borderId="0" xfId="0" applyNumberFormat="1" applyFont="1"/>
    <xf numFmtId="14" fontId="1" fillId="0" borderId="0" xfId="0" applyNumberFormat="1" applyFont="1"/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4" fontId="16" fillId="2" borderId="6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6">
    <cellStyle name="Normal" xfId="0" builtinId="0"/>
    <cellStyle name="Normal 3" xfId="2" xr:uid="{00000000-0005-0000-0000-000001000000}"/>
    <cellStyle name="Normal 3 2" xfId="1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201706</xdr:colOff>
      <xdr:row>29</xdr:row>
      <xdr:rowOff>44823</xdr:rowOff>
    </xdr:from>
    <xdr:to>
      <xdr:col>2</xdr:col>
      <xdr:colOff>1697468</xdr:colOff>
      <xdr:row>29</xdr:row>
      <xdr:rowOff>1126304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D546EB-17BE-4A9C-82B1-887FAECF7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177" y="6264088"/>
          <a:ext cx="1488142" cy="107576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19</xdr:row>
      <xdr:rowOff>57934</xdr:rowOff>
    </xdr:from>
    <xdr:to>
      <xdr:col>2</xdr:col>
      <xdr:colOff>1770978</xdr:colOff>
      <xdr:row>19</xdr:row>
      <xdr:rowOff>1355352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AFA878-055C-4D6B-8CA6-AC9701DE5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9971" y="3699846"/>
          <a:ext cx="1588098" cy="1306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</sheetPr>
  <dimension ref="A2:C66"/>
  <sheetViews>
    <sheetView topLeftCell="A6" workbookViewId="0">
      <selection activeCell="B3" sqref="B3"/>
    </sheetView>
  </sheetViews>
  <sheetFormatPr defaultColWidth="9.109375" defaultRowHeight="14.4" x14ac:dyDescent="0.3"/>
  <cols>
    <col min="1" max="1" width="4.6640625" style="1" customWidth="1"/>
    <col min="2" max="2" width="97.77734375" style="1" customWidth="1"/>
    <col min="3" max="3" width="14.33203125" style="1" customWidth="1"/>
    <col min="4" max="4" width="14.77734375" style="1" customWidth="1"/>
    <col min="5" max="16384" width="9.109375" style="1"/>
  </cols>
  <sheetData>
    <row r="2" spans="1:3" ht="15" customHeight="1" x14ac:dyDescent="0.3"/>
    <row r="3" spans="1:3" ht="20.25" customHeight="1" x14ac:dyDescent="0.3">
      <c r="B3" s="125"/>
    </row>
    <row r="4" spans="1:3" ht="21" customHeight="1" x14ac:dyDescent="0.3">
      <c r="B4" s="84" t="s">
        <v>125</v>
      </c>
    </row>
    <row r="5" spans="1:3" ht="21" customHeight="1" x14ac:dyDescent="0.3">
      <c r="B5" s="26"/>
    </row>
    <row r="6" spans="1:3" ht="50.25" customHeight="1" x14ac:dyDescent="0.3">
      <c r="B6" s="85"/>
      <c r="C6" s="137"/>
    </row>
    <row r="7" spans="1:3" ht="15" customHeight="1" x14ac:dyDescent="0.3">
      <c r="B7" s="110" t="s">
        <v>109</v>
      </c>
      <c r="C7" s="137"/>
    </row>
    <row r="8" spans="1:3" ht="21" customHeight="1" x14ac:dyDescent="0.3">
      <c r="A8" s="112">
        <v>1</v>
      </c>
      <c r="B8" s="111" t="s">
        <v>110</v>
      </c>
      <c r="C8" s="114">
        <f>WSC!L64</f>
        <v>0</v>
      </c>
    </row>
    <row r="9" spans="1:3" ht="21" customHeight="1" x14ac:dyDescent="0.3">
      <c r="A9" s="112">
        <v>2</v>
      </c>
      <c r="B9" s="111" t="s">
        <v>111</v>
      </c>
      <c r="C9" s="114"/>
    </row>
    <row r="10" spans="1:3" ht="21" customHeight="1" x14ac:dyDescent="0.3">
      <c r="A10" s="112">
        <v>3</v>
      </c>
      <c r="B10" s="111" t="s">
        <v>114</v>
      </c>
      <c r="C10" s="114"/>
    </row>
    <row r="11" spans="1:3" ht="21" customHeight="1" x14ac:dyDescent="0.3">
      <c r="A11" s="112">
        <v>4</v>
      </c>
      <c r="B11" s="111" t="s">
        <v>115</v>
      </c>
      <c r="C11" s="114"/>
    </row>
    <row r="12" spans="1:3" ht="25.95" customHeight="1" x14ac:dyDescent="0.3">
      <c r="A12" s="92"/>
      <c r="B12" s="113" t="s">
        <v>6</v>
      </c>
      <c r="C12" s="115">
        <f>SUM(C8:C11)</f>
        <v>0</v>
      </c>
    </row>
    <row r="13" spans="1:3" ht="36" customHeight="1" x14ac:dyDescent="0.3">
      <c r="B13" s="3"/>
    </row>
    <row r="14" spans="1:3" x14ac:dyDescent="0.3">
      <c r="B14" s="3"/>
    </row>
    <row r="15" spans="1:3" x14ac:dyDescent="0.3">
      <c r="B15" s="3"/>
    </row>
    <row r="16" spans="1:3" x14ac:dyDescent="0.3">
      <c r="B16" s="3"/>
    </row>
    <row r="17" spans="2:2" x14ac:dyDescent="0.3">
      <c r="B17" s="3"/>
    </row>
    <row r="18" spans="2:2" x14ac:dyDescent="0.3">
      <c r="B18" s="3"/>
    </row>
    <row r="19" spans="2:2" x14ac:dyDescent="0.3">
      <c r="B19" s="3"/>
    </row>
    <row r="20" spans="2:2" x14ac:dyDescent="0.3">
      <c r="B20" s="3"/>
    </row>
    <row r="26" spans="2:2" ht="15" customHeight="1" x14ac:dyDescent="0.3"/>
    <row r="27" spans="2:2" ht="15" customHeight="1" x14ac:dyDescent="0.3"/>
    <row r="35" ht="18" customHeight="1" x14ac:dyDescent="0.3"/>
    <row r="36" ht="15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65" spans="2:3" ht="15.75" customHeight="1" x14ac:dyDescent="0.3"/>
    <row r="66" spans="2:3" s="2" customFormat="1" x14ac:dyDescent="0.3">
      <c r="B66" s="1"/>
      <c r="C66" s="1"/>
    </row>
  </sheetData>
  <mergeCells count="1">
    <mergeCell ref="C6:C7"/>
  </mergeCells>
  <pageMargins left="0.2" right="0.2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M64"/>
  <sheetViews>
    <sheetView tabSelected="1" zoomScale="85" zoomScaleNormal="85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C10" sqref="C10"/>
    </sheetView>
  </sheetViews>
  <sheetFormatPr defaultColWidth="9.109375" defaultRowHeight="12" x14ac:dyDescent="0.25"/>
  <cols>
    <col min="1" max="1" width="5.21875" style="67" customWidth="1"/>
    <col min="2" max="2" width="50.109375" style="42" bestFit="1" customWidth="1"/>
    <col min="3" max="3" width="29.88671875" style="42" customWidth="1"/>
    <col min="4" max="4" width="7.88671875" style="67" bestFit="1" customWidth="1"/>
    <col min="5" max="5" width="9.6640625" style="42" bestFit="1" customWidth="1"/>
    <col min="6" max="6" width="7.33203125" style="42" customWidth="1"/>
    <col min="7" max="7" width="8.6640625" style="42" customWidth="1"/>
    <col min="8" max="8" width="6.109375" style="42" customWidth="1"/>
    <col min="9" max="9" width="8.88671875" style="42" customWidth="1"/>
    <col min="10" max="10" width="10" style="42" customWidth="1"/>
    <col min="11" max="11" width="9.109375" style="42" customWidth="1"/>
    <col min="12" max="12" width="9.44140625" style="42" customWidth="1"/>
    <col min="13" max="13" width="8.77734375" style="42" customWidth="1"/>
    <col min="14" max="16384" width="9.109375" style="42"/>
  </cols>
  <sheetData>
    <row r="1" spans="1:13" x14ac:dyDescent="0.25">
      <c r="A1" s="141" t="s">
        <v>129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3" x14ac:dyDescent="0.25">
      <c r="A2" s="78"/>
      <c r="B2" s="138" t="s">
        <v>128</v>
      </c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3" ht="13.8" x14ac:dyDescent="0.25">
      <c r="A3" s="79"/>
      <c r="B3" s="106"/>
      <c r="C3" s="106"/>
      <c r="D3" s="75"/>
      <c r="E3" s="76"/>
      <c r="F3" s="140" t="s">
        <v>22</v>
      </c>
      <c r="G3" s="140"/>
      <c r="H3" s="140"/>
      <c r="I3" s="140"/>
      <c r="J3" s="122">
        <f>L64</f>
        <v>0</v>
      </c>
      <c r="K3" s="122"/>
      <c r="L3" s="123"/>
      <c r="M3" s="124"/>
    </row>
    <row r="4" spans="1:13" x14ac:dyDescent="0.25">
      <c r="A4" s="146" t="s">
        <v>26</v>
      </c>
      <c r="B4" s="148" t="s">
        <v>0</v>
      </c>
      <c r="C4" s="148" t="s">
        <v>136</v>
      </c>
      <c r="D4" s="146" t="s">
        <v>1</v>
      </c>
      <c r="E4" s="150" t="s">
        <v>2</v>
      </c>
      <c r="F4" s="152" t="s">
        <v>3</v>
      </c>
      <c r="G4" s="153"/>
      <c r="H4" s="154" t="s">
        <v>4</v>
      </c>
      <c r="I4" s="155"/>
      <c r="J4" s="144" t="s">
        <v>5</v>
      </c>
      <c r="K4" s="145"/>
      <c r="L4" s="146" t="s">
        <v>6</v>
      </c>
    </row>
    <row r="5" spans="1:13" ht="24" x14ac:dyDescent="0.25">
      <c r="A5" s="147"/>
      <c r="B5" s="149"/>
      <c r="C5" s="149"/>
      <c r="D5" s="147"/>
      <c r="E5" s="151"/>
      <c r="F5" s="107" t="s">
        <v>7</v>
      </c>
      <c r="G5" s="107" t="s">
        <v>6</v>
      </c>
      <c r="H5" s="107" t="s">
        <v>7</v>
      </c>
      <c r="I5" s="52" t="s">
        <v>6</v>
      </c>
      <c r="J5" s="52" t="s">
        <v>7</v>
      </c>
      <c r="K5" s="52" t="s">
        <v>6</v>
      </c>
      <c r="L5" s="147"/>
    </row>
    <row r="6" spans="1:13" ht="12.6" x14ac:dyDescent="0.3">
      <c r="A6" s="53">
        <v>1</v>
      </c>
      <c r="B6" s="34">
        <v>2</v>
      </c>
      <c r="C6" s="34"/>
      <c r="D6" s="54">
        <v>3</v>
      </c>
      <c r="E6" s="34">
        <v>4</v>
      </c>
      <c r="F6" s="126">
        <v>5</v>
      </c>
      <c r="G6" s="126">
        <v>6</v>
      </c>
      <c r="H6" s="126">
        <v>7</v>
      </c>
      <c r="I6" s="34">
        <v>8</v>
      </c>
      <c r="J6" s="34">
        <v>9</v>
      </c>
      <c r="K6" s="34">
        <v>10</v>
      </c>
      <c r="L6" s="34">
        <v>11</v>
      </c>
    </row>
    <row r="7" spans="1:13" ht="13.8" x14ac:dyDescent="0.25">
      <c r="A7" s="53"/>
      <c r="B7" s="10" t="s">
        <v>85</v>
      </c>
      <c r="C7" s="10"/>
      <c r="D7" s="58"/>
      <c r="E7" s="47"/>
      <c r="F7" s="127"/>
      <c r="G7" s="127"/>
      <c r="H7" s="127"/>
      <c r="I7" s="47"/>
      <c r="J7" s="47"/>
      <c r="K7" s="47"/>
      <c r="L7" s="47"/>
    </row>
    <row r="8" spans="1:13" s="65" customFormat="1" ht="13.8" x14ac:dyDescent="0.25">
      <c r="A8" s="57">
        <v>2</v>
      </c>
      <c r="B8" s="20" t="s">
        <v>130</v>
      </c>
      <c r="C8" s="20"/>
      <c r="D8" s="52" t="s">
        <v>73</v>
      </c>
      <c r="E8" s="71">
        <v>51</v>
      </c>
      <c r="F8" s="128"/>
      <c r="G8" s="128">
        <f t="shared" ref="G8:G51" si="0">F8*E8</f>
        <v>0</v>
      </c>
      <c r="H8" s="128"/>
      <c r="I8" s="71">
        <f t="shared" ref="I8:I49" si="1">H8*E8</f>
        <v>0</v>
      </c>
      <c r="J8" s="71"/>
      <c r="K8" s="71">
        <f t="shared" ref="K8:K49" si="2">J8*E8</f>
        <v>0</v>
      </c>
      <c r="L8" s="71">
        <f t="shared" ref="L8:L49" si="3">K8+I8+G8</f>
        <v>0</v>
      </c>
    </row>
    <row r="9" spans="1:13" s="65" customFormat="1" ht="13.8" x14ac:dyDescent="0.25">
      <c r="A9" s="57">
        <v>4</v>
      </c>
      <c r="B9" s="20" t="s">
        <v>131</v>
      </c>
      <c r="C9" s="20"/>
      <c r="D9" s="52" t="s">
        <v>104</v>
      </c>
      <c r="E9" s="71">
        <v>4</v>
      </c>
      <c r="F9" s="128"/>
      <c r="G9" s="128">
        <f t="shared" si="0"/>
        <v>0</v>
      </c>
      <c r="H9" s="128"/>
      <c r="I9" s="71">
        <f t="shared" si="1"/>
        <v>0</v>
      </c>
      <c r="J9" s="71"/>
      <c r="K9" s="71">
        <f t="shared" si="2"/>
        <v>0</v>
      </c>
      <c r="L9" s="71">
        <f t="shared" si="3"/>
        <v>0</v>
      </c>
    </row>
    <row r="10" spans="1:13" s="65" customFormat="1" ht="13.8" x14ac:dyDescent="0.25">
      <c r="A10" s="57">
        <v>5</v>
      </c>
      <c r="B10" s="20" t="s">
        <v>126</v>
      </c>
      <c r="C10" s="20"/>
      <c r="D10" s="52" t="s">
        <v>132</v>
      </c>
      <c r="E10" s="71"/>
      <c r="F10" s="128"/>
      <c r="G10" s="128"/>
      <c r="H10" s="128"/>
      <c r="I10" s="71"/>
      <c r="J10" s="71"/>
      <c r="K10" s="71"/>
      <c r="L10" s="71"/>
    </row>
    <row r="11" spans="1:13" s="65" customFormat="1" ht="13.8" x14ac:dyDescent="0.25">
      <c r="A11" s="57">
        <v>6</v>
      </c>
      <c r="B11" s="20" t="s">
        <v>135</v>
      </c>
      <c r="C11" s="20"/>
      <c r="D11" s="52" t="s">
        <v>123</v>
      </c>
      <c r="E11" s="71">
        <v>5</v>
      </c>
      <c r="F11" s="128"/>
      <c r="G11" s="128">
        <f t="shared" si="0"/>
        <v>0</v>
      </c>
      <c r="H11" s="128"/>
      <c r="I11" s="71">
        <f t="shared" si="1"/>
        <v>0</v>
      </c>
      <c r="J11" s="71"/>
      <c r="K11" s="71">
        <f t="shared" si="2"/>
        <v>0</v>
      </c>
      <c r="L11" s="71">
        <f t="shared" si="3"/>
        <v>0</v>
      </c>
    </row>
    <row r="12" spans="1:13" s="65" customFormat="1" ht="27.6" x14ac:dyDescent="0.25">
      <c r="A12" s="57">
        <v>8</v>
      </c>
      <c r="B12" s="9" t="s">
        <v>68</v>
      </c>
      <c r="C12" s="9"/>
      <c r="D12" s="52" t="s">
        <v>23</v>
      </c>
      <c r="E12" s="71">
        <v>10</v>
      </c>
      <c r="F12" s="128"/>
      <c r="G12" s="128">
        <f t="shared" si="0"/>
        <v>0</v>
      </c>
      <c r="H12" s="128"/>
      <c r="I12" s="71">
        <f t="shared" si="1"/>
        <v>0</v>
      </c>
      <c r="J12" s="71"/>
      <c r="K12" s="71">
        <f t="shared" si="2"/>
        <v>0</v>
      </c>
      <c r="L12" s="71">
        <f t="shared" si="3"/>
        <v>0</v>
      </c>
    </row>
    <row r="13" spans="1:13" s="65" customFormat="1" ht="13.8" x14ac:dyDescent="0.25">
      <c r="A13" s="57"/>
      <c r="B13" s="68" t="s">
        <v>86</v>
      </c>
      <c r="C13" s="68"/>
      <c r="D13" s="52"/>
      <c r="E13" s="71"/>
      <c r="F13" s="128"/>
      <c r="G13" s="128"/>
      <c r="H13" s="128"/>
      <c r="I13" s="71"/>
      <c r="J13" s="71"/>
      <c r="K13" s="71"/>
      <c r="L13" s="71"/>
    </row>
    <row r="14" spans="1:13" s="65" customFormat="1" ht="13.8" x14ac:dyDescent="0.3">
      <c r="A14" s="57">
        <v>1</v>
      </c>
      <c r="B14" s="86" t="s">
        <v>112</v>
      </c>
      <c r="C14" s="86"/>
      <c r="D14" s="109" t="s">
        <v>8</v>
      </c>
      <c r="E14" s="90">
        <v>5</v>
      </c>
      <c r="F14" s="129"/>
      <c r="G14" s="128">
        <f t="shared" si="0"/>
        <v>0</v>
      </c>
      <c r="H14" s="101"/>
      <c r="I14" s="71">
        <f t="shared" si="1"/>
        <v>0</v>
      </c>
      <c r="J14" s="16"/>
      <c r="K14" s="71">
        <f t="shared" si="2"/>
        <v>0</v>
      </c>
      <c r="L14" s="71">
        <f t="shared" si="3"/>
        <v>0</v>
      </c>
    </row>
    <row r="15" spans="1:13" s="65" customFormat="1" ht="13.8" x14ac:dyDescent="0.25">
      <c r="A15" s="57"/>
      <c r="B15" s="87" t="s">
        <v>89</v>
      </c>
      <c r="C15" s="87"/>
      <c r="D15" s="52" t="s">
        <v>88</v>
      </c>
      <c r="E15" s="16">
        <v>0.4</v>
      </c>
      <c r="F15" s="101"/>
      <c r="G15" s="128">
        <f t="shared" si="0"/>
        <v>0</v>
      </c>
      <c r="H15" s="101"/>
      <c r="I15" s="71">
        <f t="shared" si="1"/>
        <v>0</v>
      </c>
      <c r="J15" s="16"/>
      <c r="K15" s="71">
        <f t="shared" si="2"/>
        <v>0</v>
      </c>
      <c r="L15" s="71">
        <f t="shared" si="3"/>
        <v>0</v>
      </c>
    </row>
    <row r="16" spans="1:13" s="65" customFormat="1" ht="13.8" x14ac:dyDescent="0.25">
      <c r="A16" s="57"/>
      <c r="B16" s="87" t="s">
        <v>90</v>
      </c>
      <c r="C16" s="87"/>
      <c r="D16" s="52" t="s">
        <v>23</v>
      </c>
      <c r="E16" s="16">
        <v>0.2</v>
      </c>
      <c r="F16" s="101"/>
      <c r="G16" s="128">
        <f t="shared" si="0"/>
        <v>0</v>
      </c>
      <c r="H16" s="101"/>
      <c r="I16" s="71">
        <f t="shared" si="1"/>
        <v>0</v>
      </c>
      <c r="J16" s="16"/>
      <c r="K16" s="71">
        <f t="shared" si="2"/>
        <v>0</v>
      </c>
      <c r="L16" s="71">
        <f t="shared" si="3"/>
        <v>0</v>
      </c>
    </row>
    <row r="17" spans="1:12" s="65" customFormat="1" ht="13.8" x14ac:dyDescent="0.25">
      <c r="A17" s="57"/>
      <c r="B17" s="88" t="s">
        <v>11</v>
      </c>
      <c r="C17" s="88"/>
      <c r="D17" s="52" t="s">
        <v>12</v>
      </c>
      <c r="E17" s="16">
        <f>E14*0.2</f>
        <v>1</v>
      </c>
      <c r="F17" s="101"/>
      <c r="G17" s="128">
        <f t="shared" si="0"/>
        <v>0</v>
      </c>
      <c r="H17" s="101"/>
      <c r="I17" s="71">
        <f t="shared" si="1"/>
        <v>0</v>
      </c>
      <c r="J17" s="16"/>
      <c r="K17" s="71">
        <f t="shared" si="2"/>
        <v>0</v>
      </c>
      <c r="L17" s="71">
        <f t="shared" si="3"/>
        <v>0</v>
      </c>
    </row>
    <row r="18" spans="1:12" s="65" customFormat="1" ht="27.6" x14ac:dyDescent="0.3">
      <c r="A18" s="57">
        <v>4</v>
      </c>
      <c r="B18" s="93" t="s">
        <v>97</v>
      </c>
      <c r="C18" s="93"/>
      <c r="D18" s="109" t="s">
        <v>8</v>
      </c>
      <c r="E18" s="94">
        <v>102</v>
      </c>
      <c r="F18" s="130"/>
      <c r="G18" s="128">
        <f t="shared" si="0"/>
        <v>0</v>
      </c>
      <c r="H18" s="130"/>
      <c r="I18" s="71">
        <f t="shared" si="1"/>
        <v>0</v>
      </c>
      <c r="J18" s="6"/>
      <c r="K18" s="71">
        <f t="shared" si="2"/>
        <v>0</v>
      </c>
      <c r="L18" s="71">
        <f t="shared" si="3"/>
        <v>0</v>
      </c>
    </row>
    <row r="19" spans="1:12" s="65" customFormat="1" ht="13.8" x14ac:dyDescent="0.3">
      <c r="A19" s="57"/>
      <c r="B19" s="63" t="s">
        <v>91</v>
      </c>
      <c r="C19" s="63"/>
      <c r="D19" s="107" t="s">
        <v>8</v>
      </c>
      <c r="E19" s="6">
        <f>E18*2.05</f>
        <v>209.1</v>
      </c>
      <c r="F19" s="130"/>
      <c r="G19" s="128">
        <f t="shared" si="0"/>
        <v>0</v>
      </c>
      <c r="H19" s="130"/>
      <c r="I19" s="71">
        <f t="shared" si="1"/>
        <v>0</v>
      </c>
      <c r="J19" s="6"/>
      <c r="K19" s="71">
        <f t="shared" si="2"/>
        <v>0</v>
      </c>
      <c r="L19" s="71">
        <f t="shared" si="3"/>
        <v>0</v>
      </c>
    </row>
    <row r="20" spans="1:12" s="65" customFormat="1" ht="109.2" customHeight="1" x14ac:dyDescent="0.25">
      <c r="A20" s="57"/>
      <c r="B20" s="136" t="s">
        <v>93</v>
      </c>
      <c r="C20" s="9"/>
      <c r="D20" s="55" t="s">
        <v>8</v>
      </c>
      <c r="E20" s="6">
        <f>E18</f>
        <v>102</v>
      </c>
      <c r="F20" s="130"/>
      <c r="G20" s="128">
        <f t="shared" si="0"/>
        <v>0</v>
      </c>
      <c r="H20" s="130"/>
      <c r="I20" s="71">
        <f t="shared" si="1"/>
        <v>0</v>
      </c>
      <c r="J20" s="6"/>
      <c r="K20" s="71">
        <f t="shared" si="2"/>
        <v>0</v>
      </c>
      <c r="L20" s="71">
        <f t="shared" si="3"/>
        <v>0</v>
      </c>
    </row>
    <row r="21" spans="1:12" s="65" customFormat="1" ht="13.8" x14ac:dyDescent="0.3">
      <c r="A21" s="57"/>
      <c r="B21" s="72" t="s">
        <v>81</v>
      </c>
      <c r="C21" s="21"/>
      <c r="D21" s="55" t="s">
        <v>8</v>
      </c>
      <c r="E21" s="6">
        <v>72</v>
      </c>
      <c r="F21" s="130"/>
      <c r="G21" s="128">
        <f t="shared" si="0"/>
        <v>0</v>
      </c>
      <c r="H21" s="130"/>
      <c r="I21" s="71">
        <f t="shared" si="1"/>
        <v>0</v>
      </c>
      <c r="J21" s="6"/>
      <c r="K21" s="71">
        <f t="shared" si="2"/>
        <v>0</v>
      </c>
      <c r="L21" s="71">
        <f t="shared" si="3"/>
        <v>0</v>
      </c>
    </row>
    <row r="22" spans="1:12" s="65" customFormat="1" ht="13.8" x14ac:dyDescent="0.25">
      <c r="A22" s="57">
        <v>5</v>
      </c>
      <c r="B22" s="91" t="s">
        <v>121</v>
      </c>
      <c r="C22" s="91"/>
      <c r="D22" s="109" t="s">
        <v>8</v>
      </c>
      <c r="E22" s="94">
        <v>10</v>
      </c>
      <c r="F22" s="131"/>
      <c r="G22" s="128">
        <f t="shared" si="0"/>
        <v>0</v>
      </c>
      <c r="H22" s="130"/>
      <c r="I22" s="71">
        <f t="shared" si="1"/>
        <v>0</v>
      </c>
      <c r="J22" s="6"/>
      <c r="K22" s="71">
        <f t="shared" si="2"/>
        <v>0</v>
      </c>
      <c r="L22" s="71">
        <f t="shared" si="3"/>
        <v>0</v>
      </c>
    </row>
    <row r="23" spans="1:12" s="65" customFormat="1" ht="13.8" x14ac:dyDescent="0.3">
      <c r="A23" s="57"/>
      <c r="B23" s="63" t="s">
        <v>133</v>
      </c>
      <c r="C23" s="63"/>
      <c r="D23" s="107" t="s">
        <v>8</v>
      </c>
      <c r="E23" s="6">
        <f>E22*1.05</f>
        <v>10.5</v>
      </c>
      <c r="F23" s="130"/>
      <c r="G23" s="128">
        <f t="shared" si="0"/>
        <v>0</v>
      </c>
      <c r="H23" s="130"/>
      <c r="I23" s="71">
        <f t="shared" si="1"/>
        <v>0</v>
      </c>
      <c r="J23" s="6"/>
      <c r="K23" s="71">
        <f t="shared" si="2"/>
        <v>0</v>
      </c>
      <c r="L23" s="71">
        <f t="shared" si="3"/>
        <v>0</v>
      </c>
    </row>
    <row r="24" spans="1:12" s="65" customFormat="1" ht="41.4" x14ac:dyDescent="0.25">
      <c r="A24" s="57"/>
      <c r="B24" s="9" t="s">
        <v>92</v>
      </c>
      <c r="C24" s="9"/>
      <c r="D24" s="55" t="s">
        <v>8</v>
      </c>
      <c r="E24" s="6">
        <f>E22</f>
        <v>10</v>
      </c>
      <c r="F24" s="130"/>
      <c r="G24" s="128">
        <f t="shared" si="0"/>
        <v>0</v>
      </c>
      <c r="H24" s="130"/>
      <c r="I24" s="71">
        <f t="shared" si="1"/>
        <v>0</v>
      </c>
      <c r="J24" s="6"/>
      <c r="K24" s="71">
        <f t="shared" si="2"/>
        <v>0</v>
      </c>
      <c r="L24" s="71">
        <f t="shared" si="3"/>
        <v>0</v>
      </c>
    </row>
    <row r="25" spans="1:12" s="65" customFormat="1" ht="13.8" x14ac:dyDescent="0.3">
      <c r="A25" s="57"/>
      <c r="B25" s="21" t="s">
        <v>11</v>
      </c>
      <c r="C25" s="21"/>
      <c r="D25" s="55" t="s">
        <v>12</v>
      </c>
      <c r="E25" s="6">
        <f>E22*0.02</f>
        <v>0.2</v>
      </c>
      <c r="F25" s="130"/>
      <c r="G25" s="128">
        <f t="shared" si="0"/>
        <v>0</v>
      </c>
      <c r="H25" s="130"/>
      <c r="I25" s="71">
        <f t="shared" si="1"/>
        <v>0</v>
      </c>
      <c r="J25" s="6"/>
      <c r="K25" s="71">
        <f t="shared" si="2"/>
        <v>0</v>
      </c>
      <c r="L25" s="71">
        <f t="shared" si="3"/>
        <v>0</v>
      </c>
    </row>
    <row r="26" spans="1:12" s="65" customFormat="1" ht="13.8" x14ac:dyDescent="0.25">
      <c r="A26" s="57">
        <v>6</v>
      </c>
      <c r="B26" s="27" t="s">
        <v>118</v>
      </c>
      <c r="C26" s="27"/>
      <c r="D26" s="55" t="s">
        <v>119</v>
      </c>
      <c r="E26" s="28">
        <v>11</v>
      </c>
      <c r="F26" s="131"/>
      <c r="G26" s="128">
        <f t="shared" si="0"/>
        <v>0</v>
      </c>
      <c r="H26" s="131"/>
      <c r="I26" s="71">
        <f t="shared" si="1"/>
        <v>0</v>
      </c>
      <c r="J26" s="28"/>
      <c r="K26" s="71">
        <f t="shared" si="2"/>
        <v>0</v>
      </c>
      <c r="L26" s="71">
        <f t="shared" si="3"/>
        <v>0</v>
      </c>
    </row>
    <row r="27" spans="1:12" s="65" customFormat="1" ht="13.8" x14ac:dyDescent="0.25">
      <c r="A27" s="57"/>
      <c r="B27" s="29" t="s">
        <v>122</v>
      </c>
      <c r="C27" s="29"/>
      <c r="D27" s="55" t="s">
        <v>123</v>
      </c>
      <c r="E27" s="28">
        <v>10</v>
      </c>
      <c r="F27" s="131"/>
      <c r="G27" s="128">
        <f t="shared" si="0"/>
        <v>0</v>
      </c>
      <c r="H27" s="131"/>
      <c r="I27" s="71">
        <f t="shared" si="1"/>
        <v>0</v>
      </c>
      <c r="J27" s="28"/>
      <c r="K27" s="71">
        <f t="shared" si="2"/>
        <v>0</v>
      </c>
      <c r="L27" s="71">
        <f t="shared" si="3"/>
        <v>0</v>
      </c>
    </row>
    <row r="28" spans="1:12" s="65" customFormat="1" ht="13.8" x14ac:dyDescent="0.25">
      <c r="A28" s="57">
        <v>7</v>
      </c>
      <c r="B28" s="19" t="s">
        <v>124</v>
      </c>
      <c r="C28" s="19"/>
      <c r="D28" s="57" t="s">
        <v>8</v>
      </c>
      <c r="E28" s="71">
        <v>411</v>
      </c>
      <c r="F28" s="128"/>
      <c r="G28" s="128">
        <f t="shared" si="0"/>
        <v>0</v>
      </c>
      <c r="H28" s="128"/>
      <c r="I28" s="71">
        <f t="shared" si="1"/>
        <v>0</v>
      </c>
      <c r="J28" s="71"/>
      <c r="K28" s="71">
        <f t="shared" si="2"/>
        <v>0</v>
      </c>
      <c r="L28" s="71">
        <f t="shared" si="3"/>
        <v>0</v>
      </c>
    </row>
    <row r="29" spans="1:12" s="65" customFormat="1" ht="13.8" x14ac:dyDescent="0.3">
      <c r="A29" s="57"/>
      <c r="B29" s="69" t="s">
        <v>29</v>
      </c>
      <c r="C29" s="69"/>
      <c r="D29" s="52" t="s">
        <v>13</v>
      </c>
      <c r="E29" s="71">
        <v>150</v>
      </c>
      <c r="F29" s="128"/>
      <c r="G29" s="128">
        <f t="shared" si="0"/>
        <v>0</v>
      </c>
      <c r="H29" s="128"/>
      <c r="I29" s="71">
        <f t="shared" si="1"/>
        <v>0</v>
      </c>
      <c r="J29" s="71"/>
      <c r="K29" s="71">
        <f t="shared" si="2"/>
        <v>0</v>
      </c>
      <c r="L29" s="71">
        <f t="shared" si="3"/>
        <v>0</v>
      </c>
    </row>
    <row r="30" spans="1:12" s="65" customFormat="1" ht="90" customHeight="1" x14ac:dyDescent="0.3">
      <c r="A30" s="57"/>
      <c r="B30" s="135" t="s">
        <v>113</v>
      </c>
      <c r="C30" s="69"/>
      <c r="D30" s="52" t="s">
        <v>13</v>
      </c>
      <c r="E30" s="71">
        <f>E28*0.4</f>
        <v>164.4</v>
      </c>
      <c r="F30" s="128"/>
      <c r="G30" s="128">
        <f t="shared" si="0"/>
        <v>0</v>
      </c>
      <c r="H30" s="128"/>
      <c r="I30" s="71">
        <f t="shared" si="1"/>
        <v>0</v>
      </c>
      <c r="J30" s="71"/>
      <c r="K30" s="71">
        <f t="shared" si="2"/>
        <v>0</v>
      </c>
      <c r="L30" s="71">
        <f t="shared" si="3"/>
        <v>0</v>
      </c>
    </row>
    <row r="31" spans="1:12" s="65" customFormat="1" ht="13.8" x14ac:dyDescent="0.25">
      <c r="A31" s="57"/>
      <c r="B31" s="20" t="s">
        <v>127</v>
      </c>
      <c r="C31" s="20"/>
      <c r="D31" s="52" t="s">
        <v>13</v>
      </c>
      <c r="E31" s="71">
        <v>20</v>
      </c>
      <c r="F31" s="128"/>
      <c r="G31" s="128">
        <f t="shared" si="0"/>
        <v>0</v>
      </c>
      <c r="H31" s="128"/>
      <c r="I31" s="71">
        <f t="shared" si="1"/>
        <v>0</v>
      </c>
      <c r="J31" s="71"/>
      <c r="K31" s="71">
        <f t="shared" si="2"/>
        <v>0</v>
      </c>
      <c r="L31" s="71">
        <f t="shared" si="3"/>
        <v>0</v>
      </c>
    </row>
    <row r="32" spans="1:12" s="65" customFormat="1" ht="13.8" x14ac:dyDescent="0.3">
      <c r="A32" s="57"/>
      <c r="B32" s="69" t="s">
        <v>87</v>
      </c>
      <c r="C32" s="69"/>
      <c r="D32" s="52" t="s">
        <v>8</v>
      </c>
      <c r="E32" s="71">
        <f>0.009*E28</f>
        <v>3.6989999999999998</v>
      </c>
      <c r="F32" s="128"/>
      <c r="G32" s="128">
        <f t="shared" si="0"/>
        <v>0</v>
      </c>
      <c r="H32" s="128"/>
      <c r="I32" s="71">
        <f t="shared" si="1"/>
        <v>0</v>
      </c>
      <c r="J32" s="71"/>
      <c r="K32" s="71">
        <f t="shared" si="2"/>
        <v>0</v>
      </c>
      <c r="L32" s="71">
        <f t="shared" si="3"/>
        <v>0</v>
      </c>
    </row>
    <row r="33" spans="1:13" s="65" customFormat="1" ht="13.8" x14ac:dyDescent="0.3">
      <c r="A33" s="57"/>
      <c r="B33" s="69" t="s">
        <v>37</v>
      </c>
      <c r="C33" s="69"/>
      <c r="D33" s="52" t="s">
        <v>10</v>
      </c>
      <c r="E33" s="71">
        <v>180</v>
      </c>
      <c r="F33" s="128"/>
      <c r="G33" s="128">
        <f t="shared" si="0"/>
        <v>0</v>
      </c>
      <c r="H33" s="128"/>
      <c r="I33" s="71">
        <f t="shared" si="1"/>
        <v>0</v>
      </c>
      <c r="J33" s="71"/>
      <c r="K33" s="71">
        <f t="shared" si="2"/>
        <v>0</v>
      </c>
      <c r="L33" s="71">
        <f t="shared" si="3"/>
        <v>0</v>
      </c>
    </row>
    <row r="34" spans="1:13" s="65" customFormat="1" ht="13.8" x14ac:dyDescent="0.3">
      <c r="A34" s="57"/>
      <c r="B34" s="69" t="s">
        <v>36</v>
      </c>
      <c r="C34" s="69"/>
      <c r="D34" s="52" t="s">
        <v>10</v>
      </c>
      <c r="E34" s="71">
        <v>60</v>
      </c>
      <c r="F34" s="128"/>
      <c r="G34" s="128">
        <f t="shared" si="0"/>
        <v>0</v>
      </c>
      <c r="H34" s="128"/>
      <c r="I34" s="71">
        <f t="shared" si="1"/>
        <v>0</v>
      </c>
      <c r="J34" s="71"/>
      <c r="K34" s="71">
        <f t="shared" si="2"/>
        <v>0</v>
      </c>
      <c r="L34" s="71">
        <f t="shared" si="3"/>
        <v>0</v>
      </c>
    </row>
    <row r="35" spans="1:13" s="65" customFormat="1" ht="13.8" x14ac:dyDescent="0.3">
      <c r="A35" s="57"/>
      <c r="B35" s="69" t="s">
        <v>11</v>
      </c>
      <c r="C35" s="69"/>
      <c r="D35" s="52" t="s">
        <v>12</v>
      </c>
      <c r="E35" s="71">
        <f>E28*0.003</f>
        <v>1.2330000000000001</v>
      </c>
      <c r="F35" s="128"/>
      <c r="G35" s="128">
        <f t="shared" si="0"/>
        <v>0</v>
      </c>
      <c r="H35" s="128"/>
      <c r="I35" s="71">
        <f t="shared" si="1"/>
        <v>0</v>
      </c>
      <c r="J35" s="71"/>
      <c r="K35" s="71">
        <f t="shared" si="2"/>
        <v>0</v>
      </c>
      <c r="L35" s="71">
        <f t="shared" si="3"/>
        <v>0</v>
      </c>
    </row>
    <row r="36" spans="1:13" s="65" customFormat="1" ht="27.6" x14ac:dyDescent="0.3">
      <c r="A36" s="57">
        <v>8</v>
      </c>
      <c r="B36" s="99" t="s">
        <v>108</v>
      </c>
      <c r="C36" s="99"/>
      <c r="D36" s="52" t="s">
        <v>8</v>
      </c>
      <c r="E36" s="71">
        <v>35</v>
      </c>
      <c r="F36" s="128"/>
      <c r="G36" s="128">
        <f t="shared" si="0"/>
        <v>0</v>
      </c>
      <c r="H36" s="128"/>
      <c r="I36" s="71">
        <f t="shared" si="1"/>
        <v>0</v>
      </c>
      <c r="J36" s="71"/>
      <c r="K36" s="71">
        <f t="shared" si="2"/>
        <v>0</v>
      </c>
      <c r="L36" s="71">
        <f t="shared" si="3"/>
        <v>0</v>
      </c>
    </row>
    <row r="37" spans="1:13" s="65" customFormat="1" ht="13.8" x14ac:dyDescent="0.3">
      <c r="A37" s="57"/>
      <c r="B37" s="98" t="s">
        <v>94</v>
      </c>
      <c r="C37" s="98"/>
      <c r="D37" s="52" t="s">
        <v>8</v>
      </c>
      <c r="E37" s="71">
        <f>E36*1.05</f>
        <v>36.75</v>
      </c>
      <c r="F37" s="128"/>
      <c r="G37" s="128">
        <f t="shared" si="0"/>
        <v>0</v>
      </c>
      <c r="H37" s="128"/>
      <c r="I37" s="71">
        <f t="shared" si="1"/>
        <v>0</v>
      </c>
      <c r="J37" s="71"/>
      <c r="K37" s="71">
        <f t="shared" si="2"/>
        <v>0</v>
      </c>
      <c r="L37" s="71">
        <f t="shared" si="3"/>
        <v>0</v>
      </c>
    </row>
    <row r="38" spans="1:13" s="65" customFormat="1" ht="13.8" x14ac:dyDescent="0.3">
      <c r="A38" s="57"/>
      <c r="B38" s="98" t="s">
        <v>95</v>
      </c>
      <c r="C38" s="98"/>
      <c r="D38" s="52" t="s">
        <v>13</v>
      </c>
      <c r="E38" s="71">
        <f>E36*5.5</f>
        <v>192.5</v>
      </c>
      <c r="F38" s="128"/>
      <c r="G38" s="128">
        <f t="shared" si="0"/>
        <v>0</v>
      </c>
      <c r="H38" s="128"/>
      <c r="I38" s="71">
        <f t="shared" si="1"/>
        <v>0</v>
      </c>
      <c r="J38" s="71"/>
      <c r="K38" s="71">
        <f t="shared" si="2"/>
        <v>0</v>
      </c>
      <c r="L38" s="71">
        <f t="shared" si="3"/>
        <v>0</v>
      </c>
    </row>
    <row r="39" spans="1:13" s="65" customFormat="1" ht="13.8" x14ac:dyDescent="0.3">
      <c r="A39" s="57"/>
      <c r="B39" s="98" t="s">
        <v>96</v>
      </c>
      <c r="C39" s="98"/>
      <c r="D39" s="52" t="s">
        <v>9</v>
      </c>
      <c r="E39" s="71">
        <f>E36*0.8</f>
        <v>28</v>
      </c>
      <c r="F39" s="128"/>
      <c r="G39" s="128">
        <f t="shared" si="0"/>
        <v>0</v>
      </c>
      <c r="H39" s="128"/>
      <c r="I39" s="71">
        <f t="shared" si="1"/>
        <v>0</v>
      </c>
      <c r="J39" s="71"/>
      <c r="K39" s="71">
        <f t="shared" si="2"/>
        <v>0</v>
      </c>
      <c r="L39" s="71">
        <f t="shared" si="3"/>
        <v>0</v>
      </c>
    </row>
    <row r="40" spans="1:13" s="65" customFormat="1" ht="13.8" x14ac:dyDescent="0.3">
      <c r="A40" s="57"/>
      <c r="B40" s="69" t="s">
        <v>11</v>
      </c>
      <c r="C40" s="69"/>
      <c r="D40" s="52" t="s">
        <v>12</v>
      </c>
      <c r="E40" s="71">
        <f>E36*0.1</f>
        <v>3.5</v>
      </c>
      <c r="F40" s="128"/>
      <c r="G40" s="128">
        <f t="shared" si="0"/>
        <v>0</v>
      </c>
      <c r="H40" s="128"/>
      <c r="I40" s="71">
        <f t="shared" si="1"/>
        <v>0</v>
      </c>
      <c r="J40" s="71"/>
      <c r="K40" s="71">
        <f t="shared" si="2"/>
        <v>0</v>
      </c>
      <c r="L40" s="71">
        <f t="shared" si="3"/>
        <v>0</v>
      </c>
    </row>
    <row r="41" spans="1:13" s="65" customFormat="1" ht="27.6" x14ac:dyDescent="0.25">
      <c r="A41" s="57">
        <v>9</v>
      </c>
      <c r="B41" s="120" t="s">
        <v>120</v>
      </c>
      <c r="C41" s="104"/>
      <c r="D41" s="55" t="s">
        <v>9</v>
      </c>
      <c r="E41" s="28">
        <v>1</v>
      </c>
      <c r="F41" s="131"/>
      <c r="G41" s="128">
        <f t="shared" si="0"/>
        <v>0</v>
      </c>
      <c r="H41" s="131"/>
      <c r="I41" s="71">
        <f t="shared" si="1"/>
        <v>0</v>
      </c>
      <c r="J41" s="28"/>
      <c r="K41" s="71">
        <f t="shared" si="2"/>
        <v>0</v>
      </c>
      <c r="L41" s="71">
        <f t="shared" si="3"/>
        <v>0</v>
      </c>
      <c r="M41" s="116"/>
    </row>
    <row r="42" spans="1:13" s="65" customFormat="1" ht="13.8" x14ac:dyDescent="0.25">
      <c r="A42" s="57">
        <v>10</v>
      </c>
      <c r="B42" s="118" t="s">
        <v>134</v>
      </c>
      <c r="C42" s="118"/>
      <c r="D42" s="55" t="s">
        <v>9</v>
      </c>
      <c r="E42" s="28">
        <v>7</v>
      </c>
      <c r="F42" s="131"/>
      <c r="G42" s="128">
        <f t="shared" si="0"/>
        <v>0</v>
      </c>
      <c r="H42" s="131"/>
      <c r="I42" s="71">
        <f t="shared" si="1"/>
        <v>0</v>
      </c>
      <c r="J42" s="28"/>
      <c r="K42" s="71">
        <f t="shared" si="2"/>
        <v>0</v>
      </c>
      <c r="L42" s="71">
        <f>K42+I42+G42</f>
        <v>0</v>
      </c>
      <c r="M42" s="117"/>
    </row>
    <row r="43" spans="1:13" s="65" customFormat="1" ht="13.8" x14ac:dyDescent="0.25">
      <c r="A43" s="57">
        <v>12</v>
      </c>
      <c r="B43" s="77" t="s">
        <v>98</v>
      </c>
      <c r="C43" s="27"/>
      <c r="D43" s="55" t="s">
        <v>9</v>
      </c>
      <c r="E43" s="28">
        <v>20</v>
      </c>
      <c r="F43" s="131"/>
      <c r="G43" s="128">
        <f t="shared" si="0"/>
        <v>0</v>
      </c>
      <c r="H43" s="131"/>
      <c r="I43" s="71">
        <f t="shared" si="1"/>
        <v>0</v>
      </c>
      <c r="J43" s="28"/>
      <c r="K43" s="71">
        <f t="shared" si="2"/>
        <v>0</v>
      </c>
      <c r="L43" s="71">
        <f t="shared" si="3"/>
        <v>0</v>
      </c>
    </row>
    <row r="44" spans="1:13" s="65" customFormat="1" ht="41.4" x14ac:dyDescent="0.25">
      <c r="A44" s="57">
        <v>13</v>
      </c>
      <c r="B44" s="102" t="s">
        <v>99</v>
      </c>
      <c r="C44" s="119"/>
      <c r="D44" s="108" t="s">
        <v>100</v>
      </c>
      <c r="E44" s="89">
        <v>40</v>
      </c>
      <c r="F44" s="132"/>
      <c r="G44" s="128">
        <f t="shared" si="0"/>
        <v>0</v>
      </c>
      <c r="H44" s="132"/>
      <c r="I44" s="71">
        <f t="shared" si="1"/>
        <v>0</v>
      </c>
      <c r="J44" s="89"/>
      <c r="K44" s="71">
        <f t="shared" si="2"/>
        <v>0</v>
      </c>
      <c r="L44" s="71">
        <f t="shared" si="3"/>
        <v>0</v>
      </c>
    </row>
    <row r="45" spans="1:13" s="65" customFormat="1" ht="13.8" x14ac:dyDescent="0.25">
      <c r="A45" s="57">
        <v>14</v>
      </c>
      <c r="B45" s="102" t="s">
        <v>101</v>
      </c>
      <c r="C45" s="119"/>
      <c r="D45" s="108" t="s">
        <v>102</v>
      </c>
      <c r="E45" s="89">
        <v>70</v>
      </c>
      <c r="F45" s="132"/>
      <c r="G45" s="128">
        <f t="shared" si="0"/>
        <v>0</v>
      </c>
      <c r="H45" s="132"/>
      <c r="I45" s="71">
        <f t="shared" si="1"/>
        <v>0</v>
      </c>
      <c r="J45" s="89"/>
      <c r="K45" s="71">
        <f t="shared" si="2"/>
        <v>0</v>
      </c>
      <c r="L45" s="71">
        <f t="shared" si="3"/>
        <v>0</v>
      </c>
    </row>
    <row r="46" spans="1:13" s="65" customFormat="1" ht="13.8" x14ac:dyDescent="0.25">
      <c r="A46" s="57">
        <v>15</v>
      </c>
      <c r="B46" s="102" t="s">
        <v>103</v>
      </c>
      <c r="C46" s="102"/>
      <c r="D46" s="107" t="s">
        <v>104</v>
      </c>
      <c r="E46" s="89">
        <v>20</v>
      </c>
      <c r="F46" s="132"/>
      <c r="G46" s="128">
        <f t="shared" si="0"/>
        <v>0</v>
      </c>
      <c r="H46" s="132"/>
      <c r="I46" s="71">
        <f t="shared" si="1"/>
        <v>0</v>
      </c>
      <c r="J46" s="89"/>
      <c r="K46" s="71">
        <f t="shared" si="2"/>
        <v>0</v>
      </c>
      <c r="L46" s="71">
        <f t="shared" si="3"/>
        <v>0</v>
      </c>
    </row>
    <row r="47" spans="1:13" s="65" customFormat="1" ht="13.8" x14ac:dyDescent="0.25">
      <c r="A47" s="57">
        <v>16</v>
      </c>
      <c r="B47" s="102" t="s">
        <v>105</v>
      </c>
      <c r="C47" s="119"/>
      <c r="D47" s="108" t="s">
        <v>100</v>
      </c>
      <c r="E47" s="89"/>
      <c r="F47" s="132"/>
      <c r="G47" s="128">
        <f t="shared" si="0"/>
        <v>0</v>
      </c>
      <c r="H47" s="132"/>
      <c r="I47" s="71">
        <f t="shared" si="1"/>
        <v>0</v>
      </c>
      <c r="J47" s="89"/>
      <c r="K47" s="71">
        <f t="shared" si="2"/>
        <v>0</v>
      </c>
      <c r="L47" s="71">
        <f t="shared" si="3"/>
        <v>0</v>
      </c>
    </row>
    <row r="48" spans="1:13" s="65" customFormat="1" ht="13.8" x14ac:dyDescent="0.25">
      <c r="A48" s="57"/>
      <c r="B48" s="100" t="s">
        <v>11</v>
      </c>
      <c r="C48" s="100"/>
      <c r="D48" s="107" t="s">
        <v>12</v>
      </c>
      <c r="E48" s="89">
        <f>SUM(E39:E47)*0.1</f>
        <v>18.95</v>
      </c>
      <c r="F48" s="132"/>
      <c r="G48" s="128">
        <f t="shared" si="0"/>
        <v>0</v>
      </c>
      <c r="H48" s="132"/>
      <c r="I48" s="71">
        <f t="shared" si="1"/>
        <v>0</v>
      </c>
      <c r="J48" s="89"/>
      <c r="K48" s="71">
        <f t="shared" si="2"/>
        <v>0</v>
      </c>
      <c r="L48" s="71">
        <f t="shared" si="3"/>
        <v>0</v>
      </c>
    </row>
    <row r="49" spans="1:12" s="65" customFormat="1" ht="41.4" x14ac:dyDescent="0.25">
      <c r="A49" s="57">
        <v>17</v>
      </c>
      <c r="B49" s="91" t="s">
        <v>107</v>
      </c>
      <c r="C49" s="103"/>
      <c r="D49" s="109" t="s">
        <v>9</v>
      </c>
      <c r="E49" s="90">
        <v>7</v>
      </c>
      <c r="F49" s="101"/>
      <c r="G49" s="128">
        <f t="shared" si="0"/>
        <v>0</v>
      </c>
      <c r="H49" s="101"/>
      <c r="I49" s="71">
        <f t="shared" si="1"/>
        <v>0</v>
      </c>
      <c r="J49" s="101"/>
      <c r="K49" s="71">
        <f t="shared" si="2"/>
        <v>0</v>
      </c>
      <c r="L49" s="71">
        <f t="shared" si="3"/>
        <v>0</v>
      </c>
    </row>
    <row r="50" spans="1:12" s="65" customFormat="1" ht="27.6" x14ac:dyDescent="0.25">
      <c r="A50" s="57">
        <v>18</v>
      </c>
      <c r="B50" s="91" t="s">
        <v>106</v>
      </c>
      <c r="C50" s="103"/>
      <c r="D50" s="109" t="s">
        <v>9</v>
      </c>
      <c r="E50" s="90">
        <v>1</v>
      </c>
      <c r="F50" s="101"/>
      <c r="G50" s="128">
        <f t="shared" si="0"/>
        <v>0</v>
      </c>
      <c r="H50" s="101"/>
      <c r="I50" s="71">
        <f t="shared" ref="I50:I51" si="4">H50*E50</f>
        <v>0</v>
      </c>
      <c r="J50" s="101"/>
      <c r="K50" s="71">
        <f t="shared" ref="K50:K51" si="5">J50*E50</f>
        <v>0</v>
      </c>
      <c r="L50" s="71">
        <f t="shared" ref="L50:L51" si="6">K50+I50+G50</f>
        <v>0</v>
      </c>
    </row>
    <row r="51" spans="1:12" s="65" customFormat="1" ht="13.8" x14ac:dyDescent="0.25">
      <c r="A51" s="57">
        <v>24</v>
      </c>
      <c r="B51" s="121" t="s">
        <v>116</v>
      </c>
      <c r="C51" s="105"/>
      <c r="D51" s="108" t="s">
        <v>117</v>
      </c>
      <c r="E51" s="89">
        <v>10</v>
      </c>
      <c r="F51" s="132"/>
      <c r="G51" s="128">
        <f t="shared" si="0"/>
        <v>0</v>
      </c>
      <c r="H51" s="132"/>
      <c r="I51" s="71">
        <f t="shared" si="4"/>
        <v>0</v>
      </c>
      <c r="J51" s="89"/>
      <c r="K51" s="71">
        <f t="shared" si="5"/>
        <v>0</v>
      </c>
      <c r="L51" s="71">
        <f t="shared" si="6"/>
        <v>0</v>
      </c>
    </row>
    <row r="52" spans="1:12" s="65" customFormat="1" ht="13.8" x14ac:dyDescent="0.25">
      <c r="A52" s="57">
        <v>25</v>
      </c>
      <c r="B52" s="74"/>
      <c r="C52" s="74"/>
      <c r="D52" s="52"/>
      <c r="E52" s="71"/>
      <c r="F52" s="128"/>
      <c r="G52" s="128"/>
      <c r="H52" s="128"/>
      <c r="I52" s="71"/>
      <c r="J52" s="71"/>
      <c r="K52" s="71"/>
      <c r="L52" s="71"/>
    </row>
    <row r="53" spans="1:12" s="65" customFormat="1" ht="13.8" x14ac:dyDescent="0.25">
      <c r="A53" s="80"/>
      <c r="B53" s="9" t="s">
        <v>6</v>
      </c>
      <c r="C53" s="9"/>
      <c r="D53" s="52"/>
      <c r="E53" s="71"/>
      <c r="F53" s="128"/>
      <c r="G53" s="133">
        <f>SUM(G8:G52)</f>
        <v>0</v>
      </c>
      <c r="H53" s="133"/>
      <c r="I53" s="97">
        <f>SUM(I8:I52)</f>
        <v>0</v>
      </c>
      <c r="J53" s="97"/>
      <c r="K53" s="97">
        <f>SUM(K8:K52)</f>
        <v>0</v>
      </c>
      <c r="L53" s="97">
        <f>SUM(L8:L52)</f>
        <v>0</v>
      </c>
    </row>
    <row r="54" spans="1:12" s="95" customFormat="1" ht="14.4" x14ac:dyDescent="0.3">
      <c r="A54" s="80"/>
      <c r="B54" s="96" t="s">
        <v>14</v>
      </c>
      <c r="C54" s="96"/>
      <c r="D54" s="59">
        <v>0</v>
      </c>
      <c r="E54" s="71"/>
      <c r="F54" s="134"/>
      <c r="G54" s="128"/>
      <c r="H54" s="128"/>
      <c r="I54" s="71"/>
      <c r="J54" s="71"/>
      <c r="K54" s="72"/>
      <c r="L54" s="71">
        <f>L53*D54</f>
        <v>0</v>
      </c>
    </row>
    <row r="55" spans="1:12" s="95" customFormat="1" ht="14.4" x14ac:dyDescent="0.3">
      <c r="A55" s="80"/>
      <c r="B55" s="96" t="s">
        <v>6</v>
      </c>
      <c r="C55" s="96"/>
      <c r="D55" s="52"/>
      <c r="E55" s="71"/>
      <c r="F55" s="134"/>
      <c r="G55" s="134"/>
      <c r="H55" s="128"/>
      <c r="I55" s="71"/>
      <c r="J55" s="71"/>
      <c r="K55" s="72"/>
      <c r="L55" s="71">
        <f>L54+L53</f>
        <v>0</v>
      </c>
    </row>
    <row r="56" spans="1:12" s="95" customFormat="1" ht="14.4" x14ac:dyDescent="0.3">
      <c r="A56" s="80"/>
      <c r="B56" s="96" t="s">
        <v>15</v>
      </c>
      <c r="C56" s="96"/>
      <c r="D56" s="59">
        <v>0</v>
      </c>
      <c r="E56" s="71"/>
      <c r="F56" s="134"/>
      <c r="G56" s="134"/>
      <c r="H56" s="128"/>
      <c r="I56" s="71"/>
      <c r="J56" s="71"/>
      <c r="K56" s="72"/>
      <c r="L56" s="71">
        <f>L55*D56</f>
        <v>0</v>
      </c>
    </row>
    <row r="57" spans="1:12" s="95" customFormat="1" ht="14.4" x14ac:dyDescent="0.3">
      <c r="A57" s="80"/>
      <c r="B57" s="96" t="s">
        <v>6</v>
      </c>
      <c r="C57" s="96"/>
      <c r="D57" s="52"/>
      <c r="E57" s="71"/>
      <c r="F57" s="134"/>
      <c r="G57" s="134"/>
      <c r="H57" s="128"/>
      <c r="I57" s="71"/>
      <c r="J57" s="71"/>
      <c r="K57" s="72"/>
      <c r="L57" s="71">
        <f>SUM(L55:L56)</f>
        <v>0</v>
      </c>
    </row>
    <row r="58" spans="1:12" s="65" customFormat="1" ht="13.8" x14ac:dyDescent="0.3">
      <c r="A58" s="81"/>
      <c r="B58" s="96" t="s">
        <v>16</v>
      </c>
      <c r="C58" s="96"/>
      <c r="D58" s="59">
        <v>0</v>
      </c>
      <c r="E58" s="71"/>
      <c r="F58" s="134"/>
      <c r="G58" s="134"/>
      <c r="H58" s="128"/>
      <c r="I58" s="71"/>
      <c r="J58" s="71"/>
      <c r="K58" s="72"/>
      <c r="L58" s="71">
        <f>L57*D58</f>
        <v>0</v>
      </c>
    </row>
    <row r="59" spans="1:12" s="65" customFormat="1" ht="13.8" x14ac:dyDescent="0.3">
      <c r="A59" s="81"/>
      <c r="B59" s="96" t="s">
        <v>6</v>
      </c>
      <c r="C59" s="96"/>
      <c r="D59" s="52"/>
      <c r="E59" s="71"/>
      <c r="F59" s="134"/>
      <c r="G59" s="134"/>
      <c r="H59" s="128"/>
      <c r="I59" s="71"/>
      <c r="J59" s="71"/>
      <c r="K59" s="72"/>
      <c r="L59" s="71">
        <f>SUM(L57:L58)</f>
        <v>0</v>
      </c>
    </row>
    <row r="60" spans="1:12" s="65" customFormat="1" ht="13.8" x14ac:dyDescent="0.3">
      <c r="A60" s="80"/>
      <c r="B60" s="96" t="s">
        <v>19</v>
      </c>
      <c r="C60" s="96"/>
      <c r="D60" s="59">
        <v>0</v>
      </c>
      <c r="E60" s="71"/>
      <c r="F60" s="134"/>
      <c r="G60" s="134"/>
      <c r="H60" s="128"/>
      <c r="I60" s="71"/>
      <c r="J60" s="71"/>
      <c r="K60" s="72"/>
      <c r="L60" s="71">
        <f>L59*D60</f>
        <v>0</v>
      </c>
    </row>
    <row r="61" spans="1:12" s="65" customFormat="1" ht="13.8" x14ac:dyDescent="0.3">
      <c r="A61" s="82"/>
      <c r="B61" s="96" t="s">
        <v>28</v>
      </c>
      <c r="C61" s="96"/>
      <c r="D61" s="59">
        <v>0.02</v>
      </c>
      <c r="E61" s="71"/>
      <c r="F61" s="134"/>
      <c r="G61" s="134"/>
      <c r="H61" s="128"/>
      <c r="I61" s="71"/>
      <c r="J61" s="71"/>
      <c r="K61" s="72"/>
      <c r="L61" s="71">
        <f>I53*D61</f>
        <v>0</v>
      </c>
    </row>
    <row r="62" spans="1:12" s="65" customFormat="1" ht="13.8" x14ac:dyDescent="0.3">
      <c r="A62" s="83"/>
      <c r="B62" s="96" t="s">
        <v>6</v>
      </c>
      <c r="C62" s="96"/>
      <c r="D62" s="52"/>
      <c r="E62" s="71"/>
      <c r="F62" s="134"/>
      <c r="G62" s="134"/>
      <c r="H62" s="128"/>
      <c r="I62" s="71"/>
      <c r="J62" s="71"/>
      <c r="K62" s="72"/>
      <c r="L62" s="71">
        <f>L61+L60+L59</f>
        <v>0</v>
      </c>
    </row>
    <row r="63" spans="1:12" s="65" customFormat="1" ht="13.8" x14ac:dyDescent="0.25">
      <c r="A63" s="83"/>
      <c r="B63" s="9" t="s">
        <v>17</v>
      </c>
      <c r="C63" s="9"/>
      <c r="D63" s="59">
        <v>0.18</v>
      </c>
      <c r="E63" s="71"/>
      <c r="F63" s="134"/>
      <c r="G63" s="134"/>
      <c r="H63" s="134"/>
      <c r="I63" s="72"/>
      <c r="J63" s="72"/>
      <c r="K63" s="72"/>
      <c r="L63" s="71">
        <f>L62*D63</f>
        <v>0</v>
      </c>
    </row>
    <row r="64" spans="1:12" s="65" customFormat="1" ht="13.8" x14ac:dyDescent="0.3">
      <c r="A64" s="83"/>
      <c r="B64" s="70" t="s">
        <v>18</v>
      </c>
      <c r="C64" s="70"/>
      <c r="D64" s="60"/>
      <c r="E64" s="72"/>
      <c r="F64" s="134"/>
      <c r="G64" s="134"/>
      <c r="H64" s="134"/>
      <c r="I64" s="72"/>
      <c r="J64" s="72"/>
      <c r="K64" s="72"/>
      <c r="L64" s="73">
        <f>L63+L62</f>
        <v>0</v>
      </c>
    </row>
  </sheetData>
  <mergeCells count="12">
    <mergeCell ref="B2:L2"/>
    <mergeCell ref="F3:I3"/>
    <mergeCell ref="A1:L1"/>
    <mergeCell ref="J4:K4"/>
    <mergeCell ref="L4:L5"/>
    <mergeCell ref="A4:A5"/>
    <mergeCell ref="B4:B5"/>
    <mergeCell ref="D4:D5"/>
    <mergeCell ref="E4:E5"/>
    <mergeCell ref="F4:G4"/>
    <mergeCell ref="H4:I4"/>
    <mergeCell ref="C4:C5"/>
  </mergeCells>
  <pageMargins left="0.7" right="0.7" top="0.75" bottom="0.75" header="0.3" footer="0.3"/>
  <pageSetup orientation="landscape" horizontalDpi="300" verticalDpi="300" r:id="rId1"/>
  <ignoredErrors>
    <ignoredError sqref="L55 L57:L59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workbookViewId="0">
      <selection activeCell="B11" sqref="B11"/>
    </sheetView>
  </sheetViews>
  <sheetFormatPr defaultColWidth="8.77734375" defaultRowHeight="14.4" x14ac:dyDescent="0.3"/>
  <cols>
    <col min="1" max="1" width="3.33203125" customWidth="1"/>
    <col min="2" max="2" width="51.77734375" customWidth="1"/>
    <col min="4" max="4" width="11.77734375" customWidth="1"/>
    <col min="5" max="5" width="9.109375" customWidth="1"/>
    <col min="7" max="7" width="10.6640625" customWidth="1"/>
    <col min="9" max="9" width="11.33203125" customWidth="1"/>
    <col min="11" max="11" width="12.33203125" customWidth="1"/>
  </cols>
  <sheetData>
    <row r="1" spans="1:11" ht="18" customHeight="1" x14ac:dyDescent="0.3">
      <c r="A1" s="158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x14ac:dyDescent="0.3">
      <c r="A2" s="43"/>
      <c r="B2" s="156" t="s">
        <v>67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x14ac:dyDescent="0.3">
      <c r="A3" s="157" t="s">
        <v>35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x14ac:dyDescent="0.3">
      <c r="A4" s="44"/>
      <c r="B4" s="45" t="s">
        <v>45</v>
      </c>
      <c r="C4" s="46"/>
      <c r="D4" s="46"/>
      <c r="E4" s="140" t="s">
        <v>22</v>
      </c>
      <c r="F4" s="140"/>
      <c r="G4" s="140"/>
      <c r="H4" s="140"/>
      <c r="I4" s="159">
        <f>K32</f>
        <v>4235.6298933604003</v>
      </c>
      <c r="J4" s="159"/>
      <c r="K4" s="159"/>
    </row>
    <row r="5" spans="1:11" x14ac:dyDescent="0.3">
      <c r="A5" s="146" t="s">
        <v>26</v>
      </c>
      <c r="B5" s="146" t="s">
        <v>0</v>
      </c>
      <c r="C5" s="146" t="s">
        <v>1</v>
      </c>
      <c r="D5" s="150" t="s">
        <v>2</v>
      </c>
      <c r="E5" s="154" t="s">
        <v>3</v>
      </c>
      <c r="F5" s="155"/>
      <c r="G5" s="154" t="s">
        <v>4</v>
      </c>
      <c r="H5" s="155"/>
      <c r="I5" s="144" t="s">
        <v>5</v>
      </c>
      <c r="J5" s="145"/>
      <c r="K5" s="146" t="s">
        <v>6</v>
      </c>
    </row>
    <row r="6" spans="1:11" ht="20.25" customHeight="1" x14ac:dyDescent="0.3">
      <c r="A6" s="147"/>
      <c r="B6" s="147"/>
      <c r="C6" s="147"/>
      <c r="D6" s="151"/>
      <c r="E6" s="52" t="s">
        <v>7</v>
      </c>
      <c r="F6" s="52" t="s">
        <v>6</v>
      </c>
      <c r="G6" s="52" t="s">
        <v>7</v>
      </c>
      <c r="H6" s="52" t="s">
        <v>6</v>
      </c>
      <c r="I6" s="52" t="s">
        <v>7</v>
      </c>
      <c r="J6" s="52" t="s">
        <v>6</v>
      </c>
      <c r="K6" s="147"/>
    </row>
    <row r="7" spans="1:11" x14ac:dyDescent="0.3">
      <c r="A7" s="53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</row>
    <row r="8" spans="1:11" x14ac:dyDescent="0.3">
      <c r="A8" s="35"/>
      <c r="B8" s="10" t="s">
        <v>72</v>
      </c>
      <c r="C8" s="55"/>
      <c r="D8" s="6"/>
      <c r="E8" s="6"/>
      <c r="F8" s="6">
        <f t="shared" ref="F8:F20" si="0">E8*D8</f>
        <v>0</v>
      </c>
      <c r="G8" s="6"/>
      <c r="H8" s="6">
        <f t="shared" ref="H8:H20" si="1">G8*D8</f>
        <v>0</v>
      </c>
      <c r="I8" s="6"/>
      <c r="J8" s="6">
        <f t="shared" ref="J8:J20" si="2">I8*D8</f>
        <v>0</v>
      </c>
      <c r="K8" s="6">
        <f t="shared" ref="K8:K20" si="3">J8+H8+F8</f>
        <v>0</v>
      </c>
    </row>
    <row r="9" spans="1:11" x14ac:dyDescent="0.3">
      <c r="A9" s="35">
        <v>1</v>
      </c>
      <c r="B9" s="19" t="s">
        <v>64</v>
      </c>
      <c r="C9" s="55" t="s">
        <v>8</v>
      </c>
      <c r="D9" s="28">
        <v>100</v>
      </c>
      <c r="E9" s="6"/>
      <c r="F9" s="6">
        <f t="shared" si="0"/>
        <v>0</v>
      </c>
      <c r="G9" s="6">
        <v>15</v>
      </c>
      <c r="H9" s="6">
        <f t="shared" si="1"/>
        <v>1500</v>
      </c>
      <c r="I9" s="6"/>
      <c r="J9" s="6">
        <f t="shared" si="2"/>
        <v>0</v>
      </c>
      <c r="K9" s="6">
        <f t="shared" si="3"/>
        <v>1500</v>
      </c>
    </row>
    <row r="10" spans="1:11" x14ac:dyDescent="0.3">
      <c r="A10" s="35"/>
      <c r="B10" s="33" t="s">
        <v>29</v>
      </c>
      <c r="C10" s="55" t="s">
        <v>13</v>
      </c>
      <c r="D10" s="31">
        <f>0.7*45</f>
        <v>31.499999999999996</v>
      </c>
      <c r="E10" s="6">
        <v>0.9</v>
      </c>
      <c r="F10" s="6">
        <f t="shared" si="0"/>
        <v>28.349999999999998</v>
      </c>
      <c r="G10" s="6"/>
      <c r="H10" s="6">
        <f t="shared" si="1"/>
        <v>0</v>
      </c>
      <c r="I10" s="6">
        <v>0.1</v>
      </c>
      <c r="J10" s="6">
        <f t="shared" si="2"/>
        <v>3.15</v>
      </c>
      <c r="K10" s="6">
        <f t="shared" si="3"/>
        <v>31.499999999999996</v>
      </c>
    </row>
    <row r="11" spans="1:11" x14ac:dyDescent="0.3">
      <c r="A11" s="35"/>
      <c r="B11" s="20" t="s">
        <v>50</v>
      </c>
      <c r="C11" s="55" t="s">
        <v>13</v>
      </c>
      <c r="D11" s="31">
        <f>D9*0.35</f>
        <v>35</v>
      </c>
      <c r="E11" s="6">
        <v>12</v>
      </c>
      <c r="F11" s="6">
        <f t="shared" si="0"/>
        <v>420</v>
      </c>
      <c r="G11" s="6"/>
      <c r="H11" s="6">
        <f t="shared" si="1"/>
        <v>0</v>
      </c>
      <c r="I11" s="6">
        <v>0.1</v>
      </c>
      <c r="J11" s="6">
        <f t="shared" si="2"/>
        <v>3.5</v>
      </c>
      <c r="K11" s="6">
        <f t="shared" si="3"/>
        <v>423.5</v>
      </c>
    </row>
    <row r="12" spans="1:11" x14ac:dyDescent="0.3">
      <c r="A12" s="35"/>
      <c r="B12" s="20" t="s">
        <v>41</v>
      </c>
      <c r="C12" s="55" t="s">
        <v>13</v>
      </c>
      <c r="D12" s="31">
        <f>D9*0.15</f>
        <v>15</v>
      </c>
      <c r="E12" s="6">
        <v>5</v>
      </c>
      <c r="F12" s="6">
        <f t="shared" si="0"/>
        <v>75</v>
      </c>
      <c r="G12" s="6"/>
      <c r="H12" s="6">
        <f t="shared" si="1"/>
        <v>0</v>
      </c>
      <c r="I12" s="6">
        <v>0.1</v>
      </c>
      <c r="J12" s="6">
        <f t="shared" si="2"/>
        <v>1.5</v>
      </c>
      <c r="K12" s="6">
        <f t="shared" si="3"/>
        <v>76.5</v>
      </c>
    </row>
    <row r="13" spans="1:11" x14ac:dyDescent="0.3">
      <c r="A13" s="35"/>
      <c r="B13" s="33" t="s">
        <v>30</v>
      </c>
      <c r="C13" s="55" t="s">
        <v>8</v>
      </c>
      <c r="D13" s="6">
        <f>0.009*D9</f>
        <v>0.89999999999999991</v>
      </c>
      <c r="E13" s="6">
        <v>25</v>
      </c>
      <c r="F13" s="6">
        <f t="shared" si="0"/>
        <v>22.499999999999996</v>
      </c>
      <c r="G13" s="6"/>
      <c r="H13" s="6">
        <f t="shared" si="1"/>
        <v>0</v>
      </c>
      <c r="I13" s="6">
        <v>0.1</v>
      </c>
      <c r="J13" s="6">
        <f t="shared" si="2"/>
        <v>0.09</v>
      </c>
      <c r="K13" s="6">
        <f t="shared" si="3"/>
        <v>22.589999999999996</v>
      </c>
    </row>
    <row r="14" spans="1:11" x14ac:dyDescent="0.3">
      <c r="A14" s="35"/>
      <c r="B14" s="33" t="s">
        <v>36</v>
      </c>
      <c r="C14" s="55" t="s">
        <v>10</v>
      </c>
      <c r="D14" s="31">
        <f>0.5*D9</f>
        <v>50</v>
      </c>
      <c r="E14" s="6">
        <v>1.4</v>
      </c>
      <c r="F14" s="6">
        <f t="shared" si="0"/>
        <v>70</v>
      </c>
      <c r="G14" s="6"/>
      <c r="H14" s="6">
        <f t="shared" si="1"/>
        <v>0</v>
      </c>
      <c r="I14" s="6">
        <v>0.01</v>
      </c>
      <c r="J14" s="6">
        <f t="shared" si="2"/>
        <v>0.5</v>
      </c>
      <c r="K14" s="6">
        <f t="shared" si="3"/>
        <v>70.5</v>
      </c>
    </row>
    <row r="15" spans="1:11" x14ac:dyDescent="0.3">
      <c r="A15" s="35"/>
      <c r="B15" s="33" t="s">
        <v>11</v>
      </c>
      <c r="C15" s="55" t="s">
        <v>12</v>
      </c>
      <c r="D15" s="6">
        <f>D9*0.01</f>
        <v>1</v>
      </c>
      <c r="E15" s="6">
        <v>8</v>
      </c>
      <c r="F15" s="6">
        <f t="shared" si="0"/>
        <v>8</v>
      </c>
      <c r="G15" s="6"/>
      <c r="H15" s="6">
        <f t="shared" si="1"/>
        <v>0</v>
      </c>
      <c r="I15" s="6"/>
      <c r="J15" s="6">
        <f t="shared" si="2"/>
        <v>0</v>
      </c>
      <c r="K15" s="6">
        <f t="shared" si="3"/>
        <v>8</v>
      </c>
    </row>
    <row r="16" spans="1:11" ht="27.75" customHeight="1" x14ac:dyDescent="0.3">
      <c r="A16" s="35">
        <v>2</v>
      </c>
      <c r="B16" s="17" t="s">
        <v>31</v>
      </c>
      <c r="C16" s="55" t="s">
        <v>10</v>
      </c>
      <c r="D16" s="28">
        <v>25</v>
      </c>
      <c r="E16" s="6"/>
      <c r="F16" s="6">
        <f t="shared" si="0"/>
        <v>0</v>
      </c>
      <c r="G16" s="6">
        <v>5</v>
      </c>
      <c r="H16" s="6">
        <f t="shared" si="1"/>
        <v>125</v>
      </c>
      <c r="I16" s="6"/>
      <c r="J16" s="6">
        <f t="shared" si="2"/>
        <v>0</v>
      </c>
      <c r="K16" s="6">
        <f t="shared" si="3"/>
        <v>125</v>
      </c>
    </row>
    <row r="17" spans="1:11" x14ac:dyDescent="0.3">
      <c r="A17" s="35"/>
      <c r="B17" s="5" t="s">
        <v>32</v>
      </c>
      <c r="C17" s="55" t="s">
        <v>10</v>
      </c>
      <c r="D17" s="6">
        <f>1.03*D16</f>
        <v>25.75</v>
      </c>
      <c r="E17" s="6">
        <v>11</v>
      </c>
      <c r="F17" s="6">
        <f t="shared" si="0"/>
        <v>283.25</v>
      </c>
      <c r="G17" s="6"/>
      <c r="H17" s="6">
        <f t="shared" si="1"/>
        <v>0</v>
      </c>
      <c r="I17" s="6">
        <v>0.2</v>
      </c>
      <c r="J17" s="6">
        <f t="shared" si="2"/>
        <v>5.15</v>
      </c>
      <c r="K17" s="6">
        <f t="shared" si="3"/>
        <v>288.39999999999998</v>
      </c>
    </row>
    <row r="18" spans="1:11" x14ac:dyDescent="0.3">
      <c r="A18" s="35"/>
      <c r="B18" s="5" t="s">
        <v>34</v>
      </c>
      <c r="C18" s="55" t="s">
        <v>27</v>
      </c>
      <c r="D18" s="6">
        <f>D16*4</f>
        <v>100</v>
      </c>
      <c r="E18" s="6">
        <v>0.04</v>
      </c>
      <c r="F18" s="6">
        <f t="shared" si="0"/>
        <v>4</v>
      </c>
      <c r="G18" s="6"/>
      <c r="H18" s="6">
        <f t="shared" si="1"/>
        <v>0</v>
      </c>
      <c r="I18" s="6">
        <v>0.01</v>
      </c>
      <c r="J18" s="6">
        <f t="shared" si="2"/>
        <v>1</v>
      </c>
      <c r="K18" s="6">
        <f t="shared" si="3"/>
        <v>5</v>
      </c>
    </row>
    <row r="19" spans="1:11" x14ac:dyDescent="0.3">
      <c r="A19" s="35"/>
      <c r="B19" s="5" t="s">
        <v>33</v>
      </c>
      <c r="C19" s="55" t="s">
        <v>27</v>
      </c>
      <c r="D19" s="6">
        <v>15</v>
      </c>
      <c r="E19" s="6">
        <v>14</v>
      </c>
      <c r="F19" s="6">
        <f t="shared" si="0"/>
        <v>210</v>
      </c>
      <c r="G19" s="6"/>
      <c r="H19" s="6">
        <f t="shared" si="1"/>
        <v>0</v>
      </c>
      <c r="I19" s="6">
        <v>0.1</v>
      </c>
      <c r="J19" s="6">
        <f t="shared" si="2"/>
        <v>1.5</v>
      </c>
      <c r="K19" s="6">
        <f t="shared" si="3"/>
        <v>211.5</v>
      </c>
    </row>
    <row r="20" spans="1:11" x14ac:dyDescent="0.3">
      <c r="A20" s="35"/>
      <c r="B20" s="5" t="s">
        <v>11</v>
      </c>
      <c r="C20" s="55" t="s">
        <v>12</v>
      </c>
      <c r="D20" s="6">
        <f>D16*0.03</f>
        <v>0.75</v>
      </c>
      <c r="E20" s="6">
        <v>8</v>
      </c>
      <c r="F20" s="6">
        <f t="shared" si="0"/>
        <v>6</v>
      </c>
      <c r="G20" s="6"/>
      <c r="H20" s="6">
        <f t="shared" si="1"/>
        <v>0</v>
      </c>
      <c r="I20" s="6"/>
      <c r="J20" s="6">
        <f t="shared" si="2"/>
        <v>0</v>
      </c>
      <c r="K20" s="6">
        <f t="shared" si="3"/>
        <v>6</v>
      </c>
    </row>
    <row r="21" spans="1:11" x14ac:dyDescent="0.3">
      <c r="A21" s="22"/>
      <c r="B21" s="7" t="s">
        <v>6</v>
      </c>
      <c r="C21" s="55"/>
      <c r="D21" s="6"/>
      <c r="E21" s="6"/>
      <c r="F21" s="6">
        <f>SUM(F8:F20)</f>
        <v>1127.0999999999999</v>
      </c>
      <c r="G21" s="6"/>
      <c r="H21" s="6">
        <f>SUM(H8:H20)</f>
        <v>1625</v>
      </c>
      <c r="I21" s="6"/>
      <c r="J21" s="6">
        <f>SUM(J8:J20)</f>
        <v>16.39</v>
      </c>
      <c r="K21" s="6">
        <f>SUM(K8:K20)</f>
        <v>2768.4900000000002</v>
      </c>
    </row>
    <row r="22" spans="1:11" x14ac:dyDescent="0.3">
      <c r="A22" s="8"/>
      <c r="B22" s="13" t="s">
        <v>14</v>
      </c>
      <c r="C22" s="56">
        <v>0.05</v>
      </c>
      <c r="D22" s="16"/>
      <c r="E22" s="15"/>
      <c r="F22" s="16"/>
      <c r="G22" s="16"/>
      <c r="H22" s="16"/>
      <c r="I22" s="16"/>
      <c r="J22" s="15"/>
      <c r="K22" s="16">
        <f>K21*C22</f>
        <v>138.42450000000002</v>
      </c>
    </row>
    <row r="23" spans="1:11" x14ac:dyDescent="0.3">
      <c r="A23" s="8"/>
      <c r="B23" s="18" t="s">
        <v>6</v>
      </c>
      <c r="C23" s="57"/>
      <c r="D23" s="16"/>
      <c r="E23" s="15"/>
      <c r="F23" s="15"/>
      <c r="G23" s="16"/>
      <c r="H23" s="16"/>
      <c r="I23" s="16"/>
      <c r="J23" s="15"/>
      <c r="K23" s="16">
        <f>K22+K21</f>
        <v>2906.9145000000003</v>
      </c>
    </row>
    <row r="24" spans="1:11" x14ac:dyDescent="0.3">
      <c r="A24" s="8"/>
      <c r="B24" s="13" t="s">
        <v>15</v>
      </c>
      <c r="C24" s="56">
        <v>0.1</v>
      </c>
      <c r="D24" s="16"/>
      <c r="E24" s="15"/>
      <c r="F24" s="15"/>
      <c r="G24" s="16"/>
      <c r="H24" s="16"/>
      <c r="I24" s="16"/>
      <c r="J24" s="15"/>
      <c r="K24" s="16">
        <f>K23*C24</f>
        <v>290.69145000000003</v>
      </c>
    </row>
    <row r="25" spans="1:11" x14ac:dyDescent="0.3">
      <c r="A25" s="8"/>
      <c r="B25" s="18" t="s">
        <v>6</v>
      </c>
      <c r="C25" s="57"/>
      <c r="D25" s="16"/>
      <c r="E25" s="15"/>
      <c r="F25" s="15"/>
      <c r="G25" s="16"/>
      <c r="H25" s="16"/>
      <c r="I25" s="16"/>
      <c r="J25" s="15"/>
      <c r="K25" s="16">
        <f>SUM(K23:K24)</f>
        <v>3197.6059500000001</v>
      </c>
    </row>
    <row r="26" spans="1:11" x14ac:dyDescent="0.3">
      <c r="A26" s="8"/>
      <c r="B26" s="13" t="s">
        <v>16</v>
      </c>
      <c r="C26" s="56">
        <v>0.08</v>
      </c>
      <c r="D26" s="16"/>
      <c r="E26" s="15"/>
      <c r="F26" s="15"/>
      <c r="G26" s="16"/>
      <c r="H26" s="16"/>
      <c r="I26" s="16"/>
      <c r="J26" s="15"/>
      <c r="K26" s="16">
        <f>K25*C26</f>
        <v>255.80847600000001</v>
      </c>
    </row>
    <row r="27" spans="1:11" x14ac:dyDescent="0.3">
      <c r="A27" s="14"/>
      <c r="B27" s="18" t="s">
        <v>6</v>
      </c>
      <c r="C27" s="57"/>
      <c r="D27" s="16"/>
      <c r="E27" s="15"/>
      <c r="F27" s="15"/>
      <c r="G27" s="16"/>
      <c r="H27" s="16"/>
      <c r="I27" s="16"/>
      <c r="J27" s="15"/>
      <c r="K27" s="16">
        <f>SUM(K25:K26)</f>
        <v>3453.4144260000003</v>
      </c>
    </row>
    <row r="28" spans="1:11" x14ac:dyDescent="0.3">
      <c r="A28" s="14"/>
      <c r="B28" s="13" t="s">
        <v>19</v>
      </c>
      <c r="C28" s="56">
        <v>0.03</v>
      </c>
      <c r="D28" s="16"/>
      <c r="E28" s="15"/>
      <c r="F28" s="15"/>
      <c r="G28" s="16"/>
      <c r="H28" s="16"/>
      <c r="I28" s="16"/>
      <c r="J28" s="15"/>
      <c r="K28" s="16">
        <f>K27*C28</f>
        <v>103.60243278</v>
      </c>
    </row>
    <row r="29" spans="1:11" x14ac:dyDescent="0.3">
      <c r="A29" s="14"/>
      <c r="B29" s="13" t="s">
        <v>28</v>
      </c>
      <c r="C29" s="56">
        <v>0.02</v>
      </c>
      <c r="D29" s="16"/>
      <c r="E29" s="15"/>
      <c r="F29" s="15"/>
      <c r="G29" s="16"/>
      <c r="H29" s="16"/>
      <c r="I29" s="16"/>
      <c r="J29" s="15"/>
      <c r="K29" s="16">
        <f>H21*C29</f>
        <v>32.5</v>
      </c>
    </row>
    <row r="30" spans="1:11" x14ac:dyDescent="0.3">
      <c r="A30" s="14"/>
      <c r="B30" s="18" t="s">
        <v>6</v>
      </c>
      <c r="C30" s="57"/>
      <c r="D30" s="16"/>
      <c r="E30" s="15"/>
      <c r="F30" s="15"/>
      <c r="G30" s="16"/>
      <c r="H30" s="16"/>
      <c r="I30" s="16"/>
      <c r="J30" s="15"/>
      <c r="K30" s="16">
        <f>K29+K28+K27</f>
        <v>3589.5168587800003</v>
      </c>
    </row>
    <row r="31" spans="1:11" x14ac:dyDescent="0.3">
      <c r="A31" s="8"/>
      <c r="B31" s="8" t="s">
        <v>17</v>
      </c>
      <c r="C31" s="56">
        <v>0.18</v>
      </c>
      <c r="D31" s="16"/>
      <c r="E31" s="15"/>
      <c r="F31" s="15"/>
      <c r="G31" s="15"/>
      <c r="H31" s="15"/>
      <c r="I31" s="15"/>
      <c r="J31" s="15"/>
      <c r="K31" s="16">
        <f>K30*C31</f>
        <v>646.11303458040004</v>
      </c>
    </row>
    <row r="32" spans="1:11" x14ac:dyDescent="0.3">
      <c r="A32" s="7"/>
      <c r="B32" s="11" t="s">
        <v>18</v>
      </c>
      <c r="C32" s="4"/>
      <c r="D32" s="7"/>
      <c r="E32" s="7"/>
      <c r="F32" s="7"/>
      <c r="G32" s="7"/>
      <c r="H32" s="7"/>
      <c r="I32" s="7"/>
      <c r="J32" s="7"/>
      <c r="K32" s="25">
        <f>K31+K30</f>
        <v>4235.6298933604003</v>
      </c>
    </row>
  </sheetData>
  <mergeCells count="13">
    <mergeCell ref="I5:J5"/>
    <mergeCell ref="K5:K6"/>
    <mergeCell ref="A5:A6"/>
    <mergeCell ref="B5:B6"/>
    <mergeCell ref="C5:C6"/>
    <mergeCell ref="D5:D6"/>
    <mergeCell ref="E5:F5"/>
    <mergeCell ref="G5:H5"/>
    <mergeCell ref="B2:K2"/>
    <mergeCell ref="A3:K3"/>
    <mergeCell ref="E4:H4"/>
    <mergeCell ref="A1:K1"/>
    <mergeCell ref="I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K66"/>
  <sheetViews>
    <sheetView topLeftCell="A4" workbookViewId="0">
      <selection activeCell="A9" sqref="A9:XFD16"/>
    </sheetView>
  </sheetViews>
  <sheetFormatPr defaultColWidth="8.77734375" defaultRowHeight="14.4" x14ac:dyDescent="0.3"/>
  <cols>
    <col min="1" max="1" width="4.33203125" customWidth="1"/>
    <col min="2" max="2" width="74.33203125" customWidth="1"/>
    <col min="4" max="4" width="10.33203125" customWidth="1"/>
    <col min="8" max="8" width="9.33203125" bestFit="1" customWidth="1"/>
    <col min="11" max="11" width="11.33203125" customWidth="1"/>
  </cols>
  <sheetData>
    <row r="1" spans="1:11" ht="18" customHeight="1" x14ac:dyDescent="0.3">
      <c r="A1" s="158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x14ac:dyDescent="0.3">
      <c r="A2" s="43"/>
      <c r="B2" s="156" t="s">
        <v>66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x14ac:dyDescent="0.3">
      <c r="A3" s="157" t="s">
        <v>35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8" customHeight="1" x14ac:dyDescent="0.3">
      <c r="A4" s="44"/>
      <c r="B4" s="45" t="s">
        <v>43</v>
      </c>
      <c r="C4" s="46"/>
      <c r="D4" s="46"/>
      <c r="E4" s="140" t="s">
        <v>22</v>
      </c>
      <c r="F4" s="140"/>
      <c r="G4" s="140"/>
      <c r="H4" s="140"/>
      <c r="I4" s="159">
        <f>K47</f>
        <v>2376.7384026599998</v>
      </c>
      <c r="J4" s="159"/>
      <c r="K4" s="159"/>
    </row>
    <row r="5" spans="1:11" ht="15" customHeight="1" x14ac:dyDescent="0.3">
      <c r="A5" s="146" t="s">
        <v>26</v>
      </c>
      <c r="B5" s="146" t="s">
        <v>0</v>
      </c>
      <c r="C5" s="146" t="s">
        <v>1</v>
      </c>
      <c r="D5" s="150" t="s">
        <v>2</v>
      </c>
      <c r="E5" s="154" t="s">
        <v>3</v>
      </c>
      <c r="F5" s="155"/>
      <c r="G5" s="154" t="s">
        <v>4</v>
      </c>
      <c r="H5" s="155"/>
      <c r="I5" s="144" t="s">
        <v>5</v>
      </c>
      <c r="J5" s="145"/>
      <c r="K5" s="146" t="s">
        <v>6</v>
      </c>
    </row>
    <row r="6" spans="1:11" x14ac:dyDescent="0.3">
      <c r="A6" s="147"/>
      <c r="B6" s="147"/>
      <c r="C6" s="147"/>
      <c r="D6" s="151"/>
      <c r="E6" s="60" t="s">
        <v>7</v>
      </c>
      <c r="F6" s="52" t="s">
        <v>6</v>
      </c>
      <c r="G6" s="60" t="s">
        <v>7</v>
      </c>
      <c r="H6" s="52" t="s">
        <v>6</v>
      </c>
      <c r="I6" s="60" t="s">
        <v>7</v>
      </c>
      <c r="J6" s="52" t="s">
        <v>6</v>
      </c>
      <c r="K6" s="147"/>
    </row>
    <row r="7" spans="1:11" x14ac:dyDescent="0.3">
      <c r="A7" s="53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</row>
    <row r="8" spans="1:11" ht="31.95" customHeight="1" x14ac:dyDescent="0.3">
      <c r="A8" s="35"/>
      <c r="B8" s="66" t="s">
        <v>65</v>
      </c>
      <c r="C8" s="53"/>
      <c r="D8" s="6"/>
      <c r="E8" s="6"/>
      <c r="F8" s="6"/>
      <c r="G8" s="6"/>
      <c r="H8" s="6"/>
      <c r="I8" s="6"/>
      <c r="J8" s="6"/>
      <c r="K8" s="6"/>
    </row>
    <row r="9" spans="1:11" x14ac:dyDescent="0.3">
      <c r="A9" s="35">
        <v>1</v>
      </c>
      <c r="B9" s="27" t="s">
        <v>84</v>
      </c>
      <c r="C9" s="24" t="s">
        <v>8</v>
      </c>
      <c r="D9" s="28">
        <v>22</v>
      </c>
      <c r="E9" s="28"/>
      <c r="F9" s="6">
        <f t="shared" ref="F9:F35" si="0">E9*D9</f>
        <v>0</v>
      </c>
      <c r="G9" s="28">
        <v>14</v>
      </c>
      <c r="H9" s="6">
        <f t="shared" ref="H9:H35" si="1">G9*D9</f>
        <v>308</v>
      </c>
      <c r="I9" s="28"/>
      <c r="J9" s="6">
        <f t="shared" ref="J9:J35" si="2">I9*D9</f>
        <v>0</v>
      </c>
      <c r="K9" s="6">
        <f t="shared" ref="K9:K35" si="3">J9+H9+F9</f>
        <v>308</v>
      </c>
    </row>
    <row r="10" spans="1:11" x14ac:dyDescent="0.3">
      <c r="A10" s="35">
        <v>2</v>
      </c>
      <c r="B10" s="27" t="s">
        <v>83</v>
      </c>
      <c r="C10" s="24" t="s">
        <v>8</v>
      </c>
      <c r="D10" s="28">
        <v>3</v>
      </c>
      <c r="E10" s="28"/>
      <c r="F10" s="6">
        <f t="shared" ref="F10" si="4">E10*D10</f>
        <v>0</v>
      </c>
      <c r="G10" s="28">
        <v>18</v>
      </c>
      <c r="H10" s="6">
        <f t="shared" ref="H10" si="5">G10*D10</f>
        <v>54</v>
      </c>
      <c r="I10" s="28"/>
      <c r="J10" s="6">
        <f t="shared" ref="J10" si="6">I10*D10</f>
        <v>0</v>
      </c>
      <c r="K10" s="6">
        <f t="shared" ref="K10" si="7">J10+H10+F10</f>
        <v>54</v>
      </c>
    </row>
    <row r="11" spans="1:11" x14ac:dyDescent="0.3">
      <c r="A11" s="35"/>
      <c r="B11" s="63" t="s">
        <v>78</v>
      </c>
      <c r="C11" s="24" t="s">
        <v>8</v>
      </c>
      <c r="D11" s="28">
        <f>D9*1.05+D10*2.1</f>
        <v>29.400000000000002</v>
      </c>
      <c r="E11" s="28">
        <v>5.5</v>
      </c>
      <c r="F11" s="6">
        <f t="shared" si="0"/>
        <v>161.70000000000002</v>
      </c>
      <c r="G11" s="28"/>
      <c r="H11" s="6">
        <f t="shared" si="1"/>
        <v>0</v>
      </c>
      <c r="I11" s="28"/>
      <c r="J11" s="6">
        <f t="shared" si="2"/>
        <v>0</v>
      </c>
      <c r="K11" s="6">
        <f t="shared" si="3"/>
        <v>161.70000000000002</v>
      </c>
    </row>
    <row r="12" spans="1:11" ht="27.6" x14ac:dyDescent="0.3">
      <c r="A12" s="35"/>
      <c r="B12" s="9" t="s">
        <v>79</v>
      </c>
      <c r="C12" s="24" t="s">
        <v>8</v>
      </c>
      <c r="D12" s="28">
        <f>D10</f>
        <v>3</v>
      </c>
      <c r="E12" s="28">
        <v>14</v>
      </c>
      <c r="F12" s="6">
        <f t="shared" si="0"/>
        <v>42</v>
      </c>
      <c r="G12" s="28"/>
      <c r="H12" s="6">
        <f t="shared" si="1"/>
        <v>0</v>
      </c>
      <c r="I12" s="28">
        <v>0.5</v>
      </c>
      <c r="J12" s="6">
        <f t="shared" si="2"/>
        <v>1.5</v>
      </c>
      <c r="K12" s="6">
        <f t="shared" si="3"/>
        <v>43.5</v>
      </c>
    </row>
    <row r="13" spans="1:11" ht="27.6" x14ac:dyDescent="0.3">
      <c r="A13" s="35"/>
      <c r="B13" s="21" t="s">
        <v>80</v>
      </c>
      <c r="C13" s="24" t="s">
        <v>8</v>
      </c>
      <c r="D13" s="28">
        <f>D9</f>
        <v>22</v>
      </c>
      <c r="E13" s="28">
        <v>10</v>
      </c>
      <c r="F13" s="6">
        <f t="shared" si="0"/>
        <v>220</v>
      </c>
      <c r="G13" s="28"/>
      <c r="H13" s="6">
        <f t="shared" si="1"/>
        <v>0</v>
      </c>
      <c r="I13" s="28">
        <v>0.5</v>
      </c>
      <c r="J13" s="6">
        <f t="shared" si="2"/>
        <v>11</v>
      </c>
      <c r="K13" s="6">
        <f t="shared" si="3"/>
        <v>231</v>
      </c>
    </row>
    <row r="14" spans="1:11" x14ac:dyDescent="0.3">
      <c r="A14" s="35"/>
      <c r="B14" s="21" t="s">
        <v>81</v>
      </c>
      <c r="C14" s="24" t="s">
        <v>8</v>
      </c>
      <c r="D14" s="28">
        <f>D10</f>
        <v>3</v>
      </c>
      <c r="E14" s="28">
        <v>9</v>
      </c>
      <c r="F14" s="6">
        <f t="shared" si="0"/>
        <v>27</v>
      </c>
      <c r="G14" s="28"/>
      <c r="H14" s="6">
        <f t="shared" si="1"/>
        <v>0</v>
      </c>
      <c r="I14" s="28"/>
      <c r="J14" s="6">
        <f t="shared" si="2"/>
        <v>0</v>
      </c>
      <c r="K14" s="6">
        <f t="shared" si="3"/>
        <v>27</v>
      </c>
    </row>
    <row r="15" spans="1:11" x14ac:dyDescent="0.3">
      <c r="A15" s="35"/>
      <c r="B15" s="21" t="s">
        <v>39</v>
      </c>
      <c r="C15" s="24" t="s">
        <v>10</v>
      </c>
      <c r="D15" s="28">
        <v>3</v>
      </c>
      <c r="E15" s="28">
        <v>2</v>
      </c>
      <c r="F15" s="6">
        <f t="shared" si="0"/>
        <v>6</v>
      </c>
      <c r="G15" s="28"/>
      <c r="H15" s="6">
        <f t="shared" si="1"/>
        <v>0</v>
      </c>
      <c r="I15" s="28"/>
      <c r="J15" s="6">
        <f t="shared" si="2"/>
        <v>0</v>
      </c>
      <c r="K15" s="6">
        <f t="shared" si="3"/>
        <v>6</v>
      </c>
    </row>
    <row r="16" spans="1:11" x14ac:dyDescent="0.3">
      <c r="A16" s="35"/>
      <c r="B16" s="21" t="s">
        <v>11</v>
      </c>
      <c r="C16" s="24" t="s">
        <v>12</v>
      </c>
      <c r="D16" s="28">
        <f>D8*0.1+D9*0.08</f>
        <v>1.76</v>
      </c>
      <c r="E16" s="28">
        <v>5</v>
      </c>
      <c r="F16" s="6">
        <f t="shared" si="0"/>
        <v>8.8000000000000007</v>
      </c>
      <c r="G16" s="28"/>
      <c r="H16" s="6">
        <f t="shared" si="1"/>
        <v>0</v>
      </c>
      <c r="I16" s="28"/>
      <c r="J16" s="6">
        <f t="shared" si="2"/>
        <v>0</v>
      </c>
      <c r="K16" s="6">
        <f t="shared" si="3"/>
        <v>8.8000000000000007</v>
      </c>
    </row>
    <row r="17" spans="1:11" x14ac:dyDescent="0.3">
      <c r="A17" s="35"/>
      <c r="B17" s="21"/>
      <c r="C17" s="24"/>
      <c r="D17" s="28"/>
      <c r="E17" s="28"/>
      <c r="F17" s="6"/>
      <c r="G17" s="28"/>
      <c r="H17" s="6"/>
      <c r="I17" s="28"/>
      <c r="J17" s="6"/>
      <c r="K17" s="6"/>
    </row>
    <row r="18" spans="1:11" x14ac:dyDescent="0.3">
      <c r="A18" s="35"/>
      <c r="B18" s="21"/>
      <c r="C18" s="24"/>
      <c r="D18" s="28"/>
      <c r="E18" s="28"/>
      <c r="F18" s="6"/>
      <c r="G18" s="28"/>
      <c r="H18" s="6"/>
      <c r="I18" s="28"/>
      <c r="J18" s="6"/>
      <c r="K18" s="6"/>
    </row>
    <row r="19" spans="1:11" x14ac:dyDescent="0.3">
      <c r="A19" s="35"/>
      <c r="B19" s="21"/>
      <c r="C19" s="24"/>
      <c r="D19" s="28"/>
      <c r="E19" s="28"/>
      <c r="F19" s="6"/>
      <c r="G19" s="28"/>
      <c r="H19" s="6"/>
      <c r="I19" s="28"/>
      <c r="J19" s="6"/>
      <c r="K19" s="6"/>
    </row>
    <row r="20" spans="1:11" x14ac:dyDescent="0.3">
      <c r="A20" s="35"/>
      <c r="B20" s="21"/>
      <c r="C20" s="24"/>
      <c r="D20" s="28"/>
      <c r="E20" s="28"/>
      <c r="F20" s="6"/>
      <c r="G20" s="28"/>
      <c r="H20" s="6"/>
      <c r="I20" s="28"/>
      <c r="J20" s="6"/>
      <c r="K20" s="6"/>
    </row>
    <row r="21" spans="1:11" x14ac:dyDescent="0.3">
      <c r="A21" s="35"/>
      <c r="B21" s="21"/>
      <c r="C21" s="24"/>
      <c r="D21" s="28"/>
      <c r="E21" s="28"/>
      <c r="F21" s="6"/>
      <c r="G21" s="28"/>
      <c r="H21" s="6"/>
      <c r="I21" s="28"/>
      <c r="J21" s="6"/>
      <c r="K21" s="6"/>
    </row>
    <row r="22" spans="1:11" x14ac:dyDescent="0.3">
      <c r="A22" s="35"/>
      <c r="B22" s="21"/>
      <c r="C22" s="24"/>
      <c r="D22" s="28"/>
      <c r="E22" s="28"/>
      <c r="F22" s="6"/>
      <c r="G22" s="28"/>
      <c r="H22" s="6"/>
      <c r="I22" s="28"/>
      <c r="J22" s="6"/>
      <c r="K22" s="6"/>
    </row>
    <row r="23" spans="1:11" x14ac:dyDescent="0.3">
      <c r="A23" s="35"/>
      <c r="B23" s="21"/>
      <c r="C23" s="24"/>
      <c r="D23" s="28"/>
      <c r="E23" s="28"/>
      <c r="F23" s="6"/>
      <c r="G23" s="28"/>
      <c r="H23" s="6"/>
      <c r="I23" s="28"/>
      <c r="J23" s="6"/>
      <c r="K23" s="6"/>
    </row>
    <row r="24" spans="1:11" x14ac:dyDescent="0.3">
      <c r="A24" s="35"/>
      <c r="B24" s="21"/>
      <c r="C24" s="24"/>
      <c r="D24" s="28"/>
      <c r="E24" s="28"/>
      <c r="F24" s="6"/>
      <c r="G24" s="28"/>
      <c r="H24" s="6"/>
      <c r="I24" s="28"/>
      <c r="J24" s="6"/>
      <c r="K24" s="6"/>
    </row>
    <row r="25" spans="1:11" x14ac:dyDescent="0.3">
      <c r="A25" s="35"/>
      <c r="B25" s="21"/>
      <c r="C25" s="24"/>
      <c r="D25" s="28"/>
      <c r="E25" s="28"/>
      <c r="F25" s="6"/>
      <c r="G25" s="28"/>
      <c r="H25" s="6"/>
      <c r="I25" s="28"/>
      <c r="J25" s="6"/>
      <c r="K25" s="6"/>
    </row>
    <row r="26" spans="1:11" x14ac:dyDescent="0.3">
      <c r="A26" s="35"/>
      <c r="B26" s="21"/>
      <c r="C26" s="24"/>
      <c r="D26" s="28"/>
      <c r="E26" s="28"/>
      <c r="F26" s="6"/>
      <c r="G26" s="28"/>
      <c r="H26" s="6"/>
      <c r="I26" s="28"/>
      <c r="J26" s="6"/>
      <c r="K26" s="6"/>
    </row>
    <row r="27" spans="1:11" x14ac:dyDescent="0.3">
      <c r="A27" s="35">
        <v>2</v>
      </c>
      <c r="B27" s="19" t="s">
        <v>82</v>
      </c>
      <c r="C27" s="24" t="s">
        <v>8</v>
      </c>
      <c r="D27" s="28">
        <v>25</v>
      </c>
      <c r="E27" s="6"/>
      <c r="F27" s="6">
        <f t="shared" si="0"/>
        <v>0</v>
      </c>
      <c r="G27" s="6">
        <v>8</v>
      </c>
      <c r="H27" s="6">
        <f t="shared" si="1"/>
        <v>200</v>
      </c>
      <c r="I27" s="6"/>
      <c r="J27" s="6">
        <f t="shared" si="2"/>
        <v>0</v>
      </c>
      <c r="K27" s="6">
        <f t="shared" si="3"/>
        <v>200</v>
      </c>
    </row>
    <row r="28" spans="1:11" x14ac:dyDescent="0.3">
      <c r="A28" s="35"/>
      <c r="B28" s="5" t="s">
        <v>29</v>
      </c>
      <c r="C28" s="23" t="s">
        <v>13</v>
      </c>
      <c r="D28" s="6">
        <f>0.7*D27</f>
        <v>17.5</v>
      </c>
      <c r="E28" s="6">
        <v>1.25</v>
      </c>
      <c r="F28" s="6">
        <f t="shared" si="0"/>
        <v>21.875</v>
      </c>
      <c r="G28" s="6"/>
      <c r="H28" s="6">
        <f t="shared" si="1"/>
        <v>0</v>
      </c>
      <c r="I28" s="6"/>
      <c r="J28" s="6">
        <f t="shared" si="2"/>
        <v>0</v>
      </c>
      <c r="K28" s="6">
        <f t="shared" si="3"/>
        <v>21.875</v>
      </c>
    </row>
    <row r="29" spans="1:11" x14ac:dyDescent="0.3">
      <c r="A29" s="35"/>
      <c r="B29" s="20" t="s">
        <v>40</v>
      </c>
      <c r="C29" s="23" t="s">
        <v>13</v>
      </c>
      <c r="D29" s="6">
        <f>D27*0.35</f>
        <v>8.75</v>
      </c>
      <c r="E29" s="6">
        <v>9.6999999999999993</v>
      </c>
      <c r="F29" s="6">
        <f t="shared" si="0"/>
        <v>84.875</v>
      </c>
      <c r="G29" s="6"/>
      <c r="H29" s="6">
        <f t="shared" si="1"/>
        <v>0</v>
      </c>
      <c r="I29" s="6"/>
      <c r="J29" s="6">
        <f t="shared" si="2"/>
        <v>0</v>
      </c>
      <c r="K29" s="6">
        <f t="shared" si="3"/>
        <v>84.875</v>
      </c>
    </row>
    <row r="30" spans="1:11" x14ac:dyDescent="0.3">
      <c r="A30" s="35"/>
      <c r="B30" s="20" t="s">
        <v>41</v>
      </c>
      <c r="C30" s="23" t="s">
        <v>13</v>
      </c>
      <c r="D30" s="6">
        <f>D27*0.15</f>
        <v>3.75</v>
      </c>
      <c r="E30" s="6">
        <v>5</v>
      </c>
      <c r="F30" s="6">
        <f t="shared" si="0"/>
        <v>18.75</v>
      </c>
      <c r="G30" s="6"/>
      <c r="H30" s="6">
        <f t="shared" si="1"/>
        <v>0</v>
      </c>
      <c r="I30" s="6"/>
      <c r="J30" s="6">
        <f t="shared" si="2"/>
        <v>0</v>
      </c>
      <c r="K30" s="6">
        <f t="shared" si="3"/>
        <v>18.75</v>
      </c>
    </row>
    <row r="31" spans="1:11" x14ac:dyDescent="0.3">
      <c r="A31" s="35"/>
      <c r="B31" s="5" t="s">
        <v>30</v>
      </c>
      <c r="C31" s="23" t="s">
        <v>8</v>
      </c>
      <c r="D31" s="6">
        <f>0.009*D27</f>
        <v>0.22499999999999998</v>
      </c>
      <c r="E31" s="6">
        <v>10</v>
      </c>
      <c r="F31" s="6">
        <f t="shared" si="0"/>
        <v>2.25</v>
      </c>
      <c r="G31" s="6"/>
      <c r="H31" s="6">
        <f t="shared" si="1"/>
        <v>0</v>
      </c>
      <c r="I31" s="6"/>
      <c r="J31" s="6">
        <f t="shared" si="2"/>
        <v>0</v>
      </c>
      <c r="K31" s="6">
        <f t="shared" si="3"/>
        <v>2.25</v>
      </c>
    </row>
    <row r="32" spans="1:11" x14ac:dyDescent="0.3">
      <c r="A32" s="35"/>
      <c r="B32" s="5" t="s">
        <v>37</v>
      </c>
      <c r="C32" s="23" t="s">
        <v>10</v>
      </c>
      <c r="D32" s="6">
        <v>1500</v>
      </c>
      <c r="E32" s="6">
        <v>0.2</v>
      </c>
      <c r="F32" s="6">
        <f t="shared" si="0"/>
        <v>300</v>
      </c>
      <c r="G32" s="6"/>
      <c r="H32" s="6">
        <f t="shared" si="1"/>
        <v>0</v>
      </c>
      <c r="I32" s="6"/>
      <c r="J32" s="6">
        <f t="shared" si="2"/>
        <v>0</v>
      </c>
      <c r="K32" s="6">
        <f t="shared" si="3"/>
        <v>300</v>
      </c>
    </row>
    <row r="33" spans="1:11" x14ac:dyDescent="0.3">
      <c r="A33" s="35"/>
      <c r="B33" s="5" t="s">
        <v>36</v>
      </c>
      <c r="C33" s="23" t="s">
        <v>10</v>
      </c>
      <c r="D33" s="6">
        <f>0.5*D27</f>
        <v>12.5</v>
      </c>
      <c r="E33" s="6">
        <v>3</v>
      </c>
      <c r="F33" s="6">
        <f t="shared" si="0"/>
        <v>37.5</v>
      </c>
      <c r="G33" s="6"/>
      <c r="H33" s="6">
        <f t="shared" si="1"/>
        <v>0</v>
      </c>
      <c r="I33" s="6"/>
      <c r="J33" s="6">
        <f t="shared" si="2"/>
        <v>0</v>
      </c>
      <c r="K33" s="6">
        <f t="shared" si="3"/>
        <v>37.5</v>
      </c>
    </row>
    <row r="34" spans="1:11" x14ac:dyDescent="0.3">
      <c r="A34" s="35"/>
      <c r="B34" s="5" t="s">
        <v>11</v>
      </c>
      <c r="C34" s="23" t="s">
        <v>12</v>
      </c>
      <c r="D34" s="6">
        <f>D27*0.01</f>
        <v>0.25</v>
      </c>
      <c r="E34" s="6">
        <v>15</v>
      </c>
      <c r="F34" s="6">
        <f t="shared" si="0"/>
        <v>3.75</v>
      </c>
      <c r="G34" s="6"/>
      <c r="H34" s="6">
        <f t="shared" si="1"/>
        <v>0</v>
      </c>
      <c r="I34" s="6"/>
      <c r="J34" s="6">
        <f t="shared" si="2"/>
        <v>0</v>
      </c>
      <c r="K34" s="6">
        <f t="shared" si="3"/>
        <v>3.75</v>
      </c>
    </row>
    <row r="35" spans="1:11" ht="27.6" x14ac:dyDescent="0.3">
      <c r="A35" s="35">
        <v>3</v>
      </c>
      <c r="B35" s="9" t="s">
        <v>76</v>
      </c>
      <c r="C35" s="53" t="s">
        <v>23</v>
      </c>
      <c r="D35" s="6">
        <f>1.1</f>
        <v>1.1000000000000001</v>
      </c>
      <c r="E35" s="6"/>
      <c r="F35" s="6">
        <f t="shared" si="0"/>
        <v>0</v>
      </c>
      <c r="G35" s="6">
        <v>25</v>
      </c>
      <c r="H35" s="64">
        <f t="shared" si="1"/>
        <v>27.500000000000004</v>
      </c>
      <c r="I35" s="6">
        <v>20</v>
      </c>
      <c r="J35" s="6">
        <f t="shared" si="2"/>
        <v>22</v>
      </c>
      <c r="K35" s="6">
        <f t="shared" si="3"/>
        <v>49.5</v>
      </c>
    </row>
    <row r="36" spans="1:11" x14ac:dyDescent="0.3">
      <c r="A36" s="22"/>
      <c r="B36" s="7" t="s">
        <v>6</v>
      </c>
      <c r="C36" s="53"/>
      <c r="D36" s="6"/>
      <c r="E36" s="6"/>
      <c r="F36" s="6">
        <f>SUM(F8:F35)</f>
        <v>934.5</v>
      </c>
      <c r="G36" s="6"/>
      <c r="H36" s="6">
        <f>SUM(H8:H35)</f>
        <v>589.5</v>
      </c>
      <c r="I36" s="6"/>
      <c r="J36" s="6">
        <f>SUM(J8:J35)</f>
        <v>34.5</v>
      </c>
      <c r="K36" s="6">
        <f>SUM(K8:K35)</f>
        <v>1558.5</v>
      </c>
    </row>
    <row r="37" spans="1:11" x14ac:dyDescent="0.3">
      <c r="A37" s="8"/>
      <c r="B37" s="13" t="s">
        <v>14</v>
      </c>
      <c r="C37" s="59">
        <v>0.05</v>
      </c>
      <c r="D37" s="16"/>
      <c r="E37" s="15"/>
      <c r="F37" s="16"/>
      <c r="G37" s="16"/>
      <c r="H37" s="16"/>
      <c r="I37" s="16"/>
      <c r="J37" s="15"/>
      <c r="K37" s="16">
        <f>K36*C37</f>
        <v>77.925000000000011</v>
      </c>
    </row>
    <row r="38" spans="1:11" x14ac:dyDescent="0.3">
      <c r="A38" s="8"/>
      <c r="B38" s="18" t="s">
        <v>6</v>
      </c>
      <c r="C38" s="52"/>
      <c r="D38" s="16"/>
      <c r="E38" s="15"/>
      <c r="F38" s="15"/>
      <c r="G38" s="16"/>
      <c r="H38" s="16"/>
      <c r="I38" s="16"/>
      <c r="J38" s="15"/>
      <c r="K38" s="16">
        <f>K37+K36</f>
        <v>1636.425</v>
      </c>
    </row>
    <row r="39" spans="1:11" x14ac:dyDescent="0.3">
      <c r="A39" s="8"/>
      <c r="B39" s="13" t="s">
        <v>15</v>
      </c>
      <c r="C39" s="59">
        <v>0.1</v>
      </c>
      <c r="D39" s="16"/>
      <c r="E39" s="15"/>
      <c r="F39" s="15"/>
      <c r="G39" s="16"/>
      <c r="H39" s="16"/>
      <c r="I39" s="16"/>
      <c r="J39" s="15"/>
      <c r="K39" s="16">
        <f>K38*C39</f>
        <v>163.64250000000001</v>
      </c>
    </row>
    <row r="40" spans="1:11" x14ac:dyDescent="0.3">
      <c r="A40" s="8"/>
      <c r="B40" s="18" t="s">
        <v>6</v>
      </c>
      <c r="C40" s="52"/>
      <c r="D40" s="16"/>
      <c r="E40" s="15"/>
      <c r="F40" s="15"/>
      <c r="G40" s="16"/>
      <c r="H40" s="16"/>
      <c r="I40" s="16"/>
      <c r="J40" s="15"/>
      <c r="K40" s="16">
        <f>SUM(K38:K39)</f>
        <v>1800.0674999999999</v>
      </c>
    </row>
    <row r="41" spans="1:11" x14ac:dyDescent="0.3">
      <c r="A41" s="8"/>
      <c r="B41" s="13" t="s">
        <v>16</v>
      </c>
      <c r="C41" s="59">
        <v>0.08</v>
      </c>
      <c r="D41" s="16"/>
      <c r="E41" s="15"/>
      <c r="F41" s="15"/>
      <c r="G41" s="16"/>
      <c r="H41" s="16"/>
      <c r="I41" s="16"/>
      <c r="J41" s="15"/>
      <c r="K41" s="16">
        <f>K40*C41</f>
        <v>144.00539999999998</v>
      </c>
    </row>
    <row r="42" spans="1:11" x14ac:dyDescent="0.3">
      <c r="A42" s="14"/>
      <c r="B42" s="18" t="s">
        <v>6</v>
      </c>
      <c r="C42" s="52"/>
      <c r="D42" s="16"/>
      <c r="E42" s="15"/>
      <c r="F42" s="15"/>
      <c r="G42" s="16"/>
      <c r="H42" s="16"/>
      <c r="I42" s="16"/>
      <c r="J42" s="15"/>
      <c r="K42" s="16">
        <f>SUM(K40:K41)</f>
        <v>1944.0728999999999</v>
      </c>
    </row>
    <row r="43" spans="1:11" x14ac:dyDescent="0.3">
      <c r="A43" s="14"/>
      <c r="B43" s="13" t="s">
        <v>19</v>
      </c>
      <c r="C43" s="59">
        <v>0.03</v>
      </c>
      <c r="D43" s="16"/>
      <c r="E43" s="15"/>
      <c r="F43" s="15"/>
      <c r="G43" s="16"/>
      <c r="H43" s="16"/>
      <c r="I43" s="16"/>
      <c r="J43" s="15"/>
      <c r="K43" s="16">
        <f>K42*C43</f>
        <v>58.322186999999992</v>
      </c>
    </row>
    <row r="44" spans="1:11" x14ac:dyDescent="0.3">
      <c r="A44" s="14"/>
      <c r="B44" s="13" t="s">
        <v>28</v>
      </c>
      <c r="C44" s="59">
        <v>0.02</v>
      </c>
      <c r="D44" s="16"/>
      <c r="E44" s="15"/>
      <c r="F44" s="15"/>
      <c r="G44" s="16"/>
      <c r="H44" s="16"/>
      <c r="I44" s="16"/>
      <c r="J44" s="15"/>
      <c r="K44" s="16">
        <f>H36*C44</f>
        <v>11.790000000000001</v>
      </c>
    </row>
    <row r="45" spans="1:11" x14ac:dyDescent="0.3">
      <c r="A45" s="14"/>
      <c r="B45" s="18" t="s">
        <v>6</v>
      </c>
      <c r="C45" s="52"/>
      <c r="D45" s="16"/>
      <c r="E45" s="15"/>
      <c r="F45" s="15"/>
      <c r="G45" s="16"/>
      <c r="H45" s="16"/>
      <c r="I45" s="16"/>
      <c r="J45" s="15"/>
      <c r="K45" s="16">
        <f>K44+K43+K42</f>
        <v>2014.1850869999998</v>
      </c>
    </row>
    <row r="46" spans="1:11" x14ac:dyDescent="0.3">
      <c r="A46" s="8"/>
      <c r="B46" s="8" t="s">
        <v>17</v>
      </c>
      <c r="C46" s="59">
        <v>0.18</v>
      </c>
      <c r="D46" s="16"/>
      <c r="E46" s="15"/>
      <c r="F46" s="15"/>
      <c r="G46" s="15"/>
      <c r="H46" s="15"/>
      <c r="I46" s="15"/>
      <c r="J46" s="15"/>
      <c r="K46" s="16">
        <f>K45*C46</f>
        <v>362.55331565999995</v>
      </c>
    </row>
    <row r="47" spans="1:11" x14ac:dyDescent="0.3">
      <c r="A47" s="7"/>
      <c r="B47" s="11" t="s">
        <v>18</v>
      </c>
      <c r="C47" s="54"/>
      <c r="D47" s="7"/>
      <c r="E47" s="7"/>
      <c r="F47" s="7"/>
      <c r="G47" s="7"/>
      <c r="H47" s="7"/>
      <c r="I47" s="7"/>
      <c r="J47" s="7"/>
      <c r="K47" s="25">
        <f>K46+K45</f>
        <v>2376.7384026599998</v>
      </c>
    </row>
    <row r="51" spans="1:11" x14ac:dyDescent="0.3">
      <c r="A51" s="35">
        <v>13</v>
      </c>
      <c r="B51" s="27" t="s">
        <v>77</v>
      </c>
      <c r="C51" s="24" t="s">
        <v>8</v>
      </c>
      <c r="D51" s="61">
        <v>90</v>
      </c>
      <c r="E51" s="61"/>
      <c r="F51" s="31">
        <f t="shared" ref="F51:F66" si="8">E51*D51</f>
        <v>0</v>
      </c>
      <c r="G51" s="61">
        <v>10</v>
      </c>
      <c r="H51" s="31">
        <f t="shared" ref="H51:H66" si="9">G51*D51</f>
        <v>900</v>
      </c>
      <c r="I51" s="61"/>
      <c r="J51" s="31">
        <f t="shared" ref="J51:J66" si="10">I51*D51</f>
        <v>0</v>
      </c>
      <c r="K51" s="31">
        <f t="shared" ref="K51:K66" si="11">J51+H51+F51</f>
        <v>900</v>
      </c>
    </row>
    <row r="52" spans="1:11" x14ac:dyDescent="0.3">
      <c r="A52" s="35"/>
      <c r="B52" s="62" t="s">
        <v>42</v>
      </c>
      <c r="C52" s="24" t="s">
        <v>8</v>
      </c>
      <c r="D52" s="61">
        <f>D50*1.05</f>
        <v>0</v>
      </c>
      <c r="E52" s="61">
        <v>5.6</v>
      </c>
      <c r="F52" s="31">
        <f t="shared" si="8"/>
        <v>0</v>
      </c>
      <c r="G52" s="61"/>
      <c r="H52" s="31">
        <f t="shared" si="9"/>
        <v>0</v>
      </c>
      <c r="I52" s="61"/>
      <c r="J52" s="31">
        <f t="shared" si="10"/>
        <v>0</v>
      </c>
      <c r="K52" s="31">
        <f t="shared" si="11"/>
        <v>0</v>
      </c>
    </row>
    <row r="53" spans="1:11" x14ac:dyDescent="0.3">
      <c r="A53" s="35"/>
      <c r="B53" s="63" t="s">
        <v>78</v>
      </c>
      <c r="C53" s="24" t="s">
        <v>8</v>
      </c>
      <c r="D53" s="61">
        <f>D51*1.05+D50*1.1</f>
        <v>94.5</v>
      </c>
      <c r="E53" s="61">
        <v>5</v>
      </c>
      <c r="F53" s="31">
        <f t="shared" si="8"/>
        <v>472.5</v>
      </c>
      <c r="G53" s="61"/>
      <c r="H53" s="31">
        <f t="shared" si="9"/>
        <v>0</v>
      </c>
      <c r="I53" s="61"/>
      <c r="J53" s="31">
        <f t="shared" si="10"/>
        <v>0</v>
      </c>
      <c r="K53" s="31">
        <f t="shared" si="11"/>
        <v>472.5</v>
      </c>
    </row>
    <row r="54" spans="1:11" ht="27.6" x14ac:dyDescent="0.3">
      <c r="A54" s="35"/>
      <c r="B54" s="9" t="s">
        <v>79</v>
      </c>
      <c r="C54" s="24" t="s">
        <v>8</v>
      </c>
      <c r="D54" s="61">
        <f>D50</f>
        <v>0</v>
      </c>
      <c r="E54" s="61">
        <v>4</v>
      </c>
      <c r="F54" s="31">
        <f t="shared" si="8"/>
        <v>0</v>
      </c>
      <c r="G54" s="61"/>
      <c r="H54" s="31">
        <f t="shared" si="9"/>
        <v>0</v>
      </c>
      <c r="I54" s="61"/>
      <c r="J54" s="31">
        <f t="shared" si="10"/>
        <v>0</v>
      </c>
      <c r="K54" s="31">
        <f t="shared" si="11"/>
        <v>0</v>
      </c>
    </row>
    <row r="55" spans="1:11" ht="27.6" x14ac:dyDescent="0.3">
      <c r="A55" s="35"/>
      <c r="B55" s="21" t="s">
        <v>80</v>
      </c>
      <c r="C55" s="24" t="s">
        <v>8</v>
      </c>
      <c r="D55" s="61">
        <f>D51</f>
        <v>90</v>
      </c>
      <c r="E55" s="61">
        <v>4</v>
      </c>
      <c r="F55" s="31">
        <f t="shared" si="8"/>
        <v>360</v>
      </c>
      <c r="G55" s="61"/>
      <c r="H55" s="31">
        <f t="shared" si="9"/>
        <v>0</v>
      </c>
      <c r="I55" s="61"/>
      <c r="J55" s="31">
        <f t="shared" si="10"/>
        <v>0</v>
      </c>
      <c r="K55" s="31">
        <f t="shared" si="11"/>
        <v>360</v>
      </c>
    </row>
    <row r="56" spans="1:11" x14ac:dyDescent="0.3">
      <c r="A56" s="35"/>
      <c r="B56" s="21" t="s">
        <v>81</v>
      </c>
      <c r="C56" s="24" t="s">
        <v>8</v>
      </c>
      <c r="D56" s="61">
        <f>D50</f>
        <v>0</v>
      </c>
      <c r="E56" s="61">
        <v>9</v>
      </c>
      <c r="F56" s="31">
        <f t="shared" si="8"/>
        <v>0</v>
      </c>
      <c r="G56" s="61"/>
      <c r="H56" s="31">
        <f t="shared" si="9"/>
        <v>0</v>
      </c>
      <c r="I56" s="61"/>
      <c r="J56" s="31">
        <f t="shared" si="10"/>
        <v>0</v>
      </c>
      <c r="K56" s="31">
        <f t="shared" si="11"/>
        <v>0</v>
      </c>
    </row>
    <row r="57" spans="1:11" x14ac:dyDescent="0.3">
      <c r="A57" s="35"/>
      <c r="B57" s="21" t="s">
        <v>39</v>
      </c>
      <c r="C57" s="24" t="s">
        <v>10</v>
      </c>
      <c r="D57" s="61">
        <v>12</v>
      </c>
      <c r="E57" s="61">
        <v>12</v>
      </c>
      <c r="F57" s="31">
        <f t="shared" si="8"/>
        <v>144</v>
      </c>
      <c r="G57" s="61"/>
      <c r="H57" s="31">
        <f t="shared" si="9"/>
        <v>0</v>
      </c>
      <c r="I57" s="61"/>
      <c r="J57" s="31">
        <f t="shared" si="10"/>
        <v>0</v>
      </c>
      <c r="K57" s="31">
        <f t="shared" si="11"/>
        <v>144</v>
      </c>
    </row>
    <row r="58" spans="1:11" x14ac:dyDescent="0.3">
      <c r="A58" s="35"/>
      <c r="B58" s="21" t="s">
        <v>11</v>
      </c>
      <c r="C58" s="24" t="s">
        <v>12</v>
      </c>
      <c r="D58" s="61">
        <f>D50*0.1+D51*0.08</f>
        <v>7.2</v>
      </c>
      <c r="E58" s="61">
        <v>5</v>
      </c>
      <c r="F58" s="31">
        <f t="shared" si="8"/>
        <v>36</v>
      </c>
      <c r="G58" s="61"/>
      <c r="H58" s="31">
        <f t="shared" si="9"/>
        <v>0</v>
      </c>
      <c r="I58" s="61"/>
      <c r="J58" s="31">
        <f t="shared" si="10"/>
        <v>0</v>
      </c>
      <c r="K58" s="31">
        <f t="shared" si="11"/>
        <v>36</v>
      </c>
    </row>
    <row r="59" spans="1:11" x14ac:dyDescent="0.3">
      <c r="A59" s="35">
        <v>14</v>
      </c>
      <c r="B59" s="19" t="s">
        <v>82</v>
      </c>
      <c r="C59" s="24" t="s">
        <v>8</v>
      </c>
      <c r="D59" s="61">
        <v>1650</v>
      </c>
      <c r="E59" s="31"/>
      <c r="F59" s="31">
        <f t="shared" si="8"/>
        <v>0</v>
      </c>
      <c r="G59" s="31">
        <v>8</v>
      </c>
      <c r="H59" s="31">
        <f t="shared" si="9"/>
        <v>13200</v>
      </c>
      <c r="I59" s="31"/>
      <c r="J59" s="31">
        <f t="shared" si="10"/>
        <v>0</v>
      </c>
      <c r="K59" s="31">
        <f t="shared" si="11"/>
        <v>13200</v>
      </c>
    </row>
    <row r="60" spans="1:11" x14ac:dyDescent="0.3">
      <c r="A60" s="35"/>
      <c r="B60" s="5" t="s">
        <v>29</v>
      </c>
      <c r="C60" s="23" t="s">
        <v>13</v>
      </c>
      <c r="D60" s="31">
        <f>0.7*D59</f>
        <v>1155</v>
      </c>
      <c r="E60" s="31">
        <v>1.25</v>
      </c>
      <c r="F60" s="31">
        <f t="shared" si="8"/>
        <v>1443.75</v>
      </c>
      <c r="G60" s="31"/>
      <c r="H60" s="31">
        <f t="shared" si="9"/>
        <v>0</v>
      </c>
      <c r="I60" s="31"/>
      <c r="J60" s="31">
        <f t="shared" si="10"/>
        <v>0</v>
      </c>
      <c r="K60" s="31">
        <f t="shared" si="11"/>
        <v>1443.75</v>
      </c>
    </row>
    <row r="61" spans="1:11" x14ac:dyDescent="0.3">
      <c r="A61" s="35"/>
      <c r="B61" s="20" t="s">
        <v>40</v>
      </c>
      <c r="C61" s="23" t="s">
        <v>13</v>
      </c>
      <c r="D61" s="31">
        <f>D59*0.35</f>
        <v>577.5</v>
      </c>
      <c r="E61" s="31">
        <v>9.6999999999999993</v>
      </c>
      <c r="F61" s="31">
        <f t="shared" si="8"/>
        <v>5601.75</v>
      </c>
      <c r="G61" s="31"/>
      <c r="H61" s="31">
        <f t="shared" si="9"/>
        <v>0</v>
      </c>
      <c r="I61" s="31"/>
      <c r="J61" s="31">
        <f t="shared" si="10"/>
        <v>0</v>
      </c>
      <c r="K61" s="31">
        <f t="shared" si="11"/>
        <v>5601.75</v>
      </c>
    </row>
    <row r="62" spans="1:11" x14ac:dyDescent="0.3">
      <c r="A62" s="35"/>
      <c r="B62" s="20" t="s">
        <v>41</v>
      </c>
      <c r="C62" s="23" t="s">
        <v>13</v>
      </c>
      <c r="D62" s="31">
        <f>D59*0.15</f>
        <v>247.5</v>
      </c>
      <c r="E62" s="31">
        <v>5</v>
      </c>
      <c r="F62" s="31">
        <f t="shared" si="8"/>
        <v>1237.5</v>
      </c>
      <c r="G62" s="31"/>
      <c r="H62" s="31">
        <f t="shared" si="9"/>
        <v>0</v>
      </c>
      <c r="I62" s="31"/>
      <c r="J62" s="31">
        <f t="shared" si="10"/>
        <v>0</v>
      </c>
      <c r="K62" s="31">
        <f t="shared" si="11"/>
        <v>1237.5</v>
      </c>
    </row>
    <row r="63" spans="1:11" x14ac:dyDescent="0.3">
      <c r="A63" s="35"/>
      <c r="B63" s="5" t="s">
        <v>30</v>
      </c>
      <c r="C63" s="23" t="s">
        <v>8</v>
      </c>
      <c r="D63" s="31">
        <f>0.009*D59</f>
        <v>14.85</v>
      </c>
      <c r="E63" s="31">
        <v>10</v>
      </c>
      <c r="F63" s="31">
        <f t="shared" si="8"/>
        <v>148.5</v>
      </c>
      <c r="G63" s="31"/>
      <c r="H63" s="31">
        <f t="shared" si="9"/>
        <v>0</v>
      </c>
      <c r="I63" s="31"/>
      <c r="J63" s="31">
        <f t="shared" si="10"/>
        <v>0</v>
      </c>
      <c r="K63" s="31">
        <f t="shared" si="11"/>
        <v>148.5</v>
      </c>
    </row>
    <row r="64" spans="1:11" x14ac:dyDescent="0.3">
      <c r="A64" s="35"/>
      <c r="B64" s="5" t="s">
        <v>37</v>
      </c>
      <c r="C64" s="23" t="s">
        <v>10</v>
      </c>
      <c r="D64" s="31">
        <v>1500</v>
      </c>
      <c r="E64" s="31">
        <v>0.2</v>
      </c>
      <c r="F64" s="31">
        <f t="shared" si="8"/>
        <v>300</v>
      </c>
      <c r="G64" s="31"/>
      <c r="H64" s="31">
        <f t="shared" si="9"/>
        <v>0</v>
      </c>
      <c r="I64" s="31"/>
      <c r="J64" s="31">
        <f t="shared" si="10"/>
        <v>0</v>
      </c>
      <c r="K64" s="31">
        <f t="shared" si="11"/>
        <v>300</v>
      </c>
    </row>
    <row r="65" spans="1:11" x14ac:dyDescent="0.3">
      <c r="A65" s="35"/>
      <c r="B65" s="5" t="s">
        <v>36</v>
      </c>
      <c r="C65" s="23" t="s">
        <v>10</v>
      </c>
      <c r="D65" s="31">
        <f>0.5*D59</f>
        <v>825</v>
      </c>
      <c r="E65" s="31">
        <v>3</v>
      </c>
      <c r="F65" s="31">
        <f t="shared" si="8"/>
        <v>2475</v>
      </c>
      <c r="G65" s="31"/>
      <c r="H65" s="31">
        <f t="shared" si="9"/>
        <v>0</v>
      </c>
      <c r="I65" s="31"/>
      <c r="J65" s="31">
        <f t="shared" si="10"/>
        <v>0</v>
      </c>
      <c r="K65" s="31">
        <f t="shared" si="11"/>
        <v>2475</v>
      </c>
    </row>
    <row r="66" spans="1:11" x14ac:dyDescent="0.3">
      <c r="A66" s="35"/>
      <c r="B66" s="5" t="s">
        <v>11</v>
      </c>
      <c r="C66" s="23" t="s">
        <v>12</v>
      </c>
      <c r="D66" s="31">
        <f>D59*0.01</f>
        <v>16.5</v>
      </c>
      <c r="E66" s="31">
        <v>15</v>
      </c>
      <c r="F66" s="31">
        <f t="shared" si="8"/>
        <v>247.5</v>
      </c>
      <c r="G66" s="31"/>
      <c r="H66" s="31">
        <f t="shared" si="9"/>
        <v>0</v>
      </c>
      <c r="I66" s="31"/>
      <c r="J66" s="31">
        <f t="shared" si="10"/>
        <v>0</v>
      </c>
      <c r="K66" s="31">
        <f t="shared" si="11"/>
        <v>247.5</v>
      </c>
    </row>
  </sheetData>
  <mergeCells count="13">
    <mergeCell ref="B2:K2"/>
    <mergeCell ref="A3:K3"/>
    <mergeCell ref="E4:H4"/>
    <mergeCell ref="A1:K1"/>
    <mergeCell ref="I4:K4"/>
    <mergeCell ref="I5:J5"/>
    <mergeCell ref="K5:K6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4.9989318521683403E-2"/>
  </sheetPr>
  <dimension ref="A1:K44"/>
  <sheetViews>
    <sheetView workbookViewId="0">
      <selection activeCell="A3" sqref="A3:XFD3"/>
    </sheetView>
  </sheetViews>
  <sheetFormatPr defaultColWidth="8.77734375" defaultRowHeight="14.4" x14ac:dyDescent="0.3"/>
  <cols>
    <col min="1" max="1" width="4" customWidth="1"/>
    <col min="2" max="2" width="69.33203125" customWidth="1"/>
    <col min="3" max="3" width="6.6640625" customWidth="1"/>
    <col min="4" max="4" width="12" customWidth="1"/>
    <col min="9" max="9" width="10.33203125" customWidth="1"/>
    <col min="11" max="11" width="12.6640625" customWidth="1"/>
  </cols>
  <sheetData>
    <row r="1" spans="1:11" ht="15.75" customHeight="1" x14ac:dyDescent="0.3">
      <c r="A1" s="158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x14ac:dyDescent="0.3">
      <c r="A2" s="43"/>
      <c r="B2" s="156" t="s">
        <v>58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x14ac:dyDescent="0.3">
      <c r="A3" s="157" t="s">
        <v>35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x14ac:dyDescent="0.3">
      <c r="A4" s="44"/>
      <c r="B4" s="45" t="s">
        <v>45</v>
      </c>
      <c r="C4" s="46"/>
      <c r="D4" s="46"/>
      <c r="E4" s="140" t="s">
        <v>22</v>
      </c>
      <c r="F4" s="140"/>
      <c r="G4" s="140"/>
      <c r="H4" s="140"/>
      <c r="I4" s="159">
        <f>K44</f>
        <v>25615.932543717405</v>
      </c>
      <c r="J4" s="159"/>
      <c r="K4" s="159"/>
    </row>
    <row r="5" spans="1:11" x14ac:dyDescent="0.3">
      <c r="A5" s="160" t="s">
        <v>26</v>
      </c>
      <c r="B5" s="146" t="s">
        <v>0</v>
      </c>
      <c r="C5" s="146" t="s">
        <v>1</v>
      </c>
      <c r="D5" s="150" t="s">
        <v>2</v>
      </c>
      <c r="E5" s="154" t="s">
        <v>3</v>
      </c>
      <c r="F5" s="155"/>
      <c r="G5" s="154" t="s">
        <v>4</v>
      </c>
      <c r="H5" s="155"/>
      <c r="I5" s="144" t="s">
        <v>5</v>
      </c>
      <c r="J5" s="145"/>
      <c r="K5" s="146" t="s">
        <v>6</v>
      </c>
    </row>
    <row r="6" spans="1:11" ht="15.75" customHeight="1" x14ac:dyDescent="0.3">
      <c r="A6" s="161"/>
      <c r="B6" s="147"/>
      <c r="C6" s="147"/>
      <c r="D6" s="151"/>
      <c r="E6" s="52" t="s">
        <v>7</v>
      </c>
      <c r="F6" s="52" t="s">
        <v>6</v>
      </c>
      <c r="G6" s="52" t="s">
        <v>7</v>
      </c>
      <c r="H6" s="52" t="s">
        <v>6</v>
      </c>
      <c r="I6" s="52" t="s">
        <v>7</v>
      </c>
      <c r="J6" s="52" t="s">
        <v>6</v>
      </c>
      <c r="K6" s="147"/>
    </row>
    <row r="7" spans="1:11" x14ac:dyDescent="0.3">
      <c r="A7" s="53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</row>
    <row r="8" spans="1:11" x14ac:dyDescent="0.3">
      <c r="A8" s="7"/>
      <c r="B8" s="10" t="s">
        <v>20</v>
      </c>
      <c r="C8" s="58"/>
      <c r="D8" s="17"/>
      <c r="E8" s="17"/>
      <c r="F8" s="17"/>
      <c r="G8" s="17"/>
      <c r="H8" s="17"/>
      <c r="I8" s="17"/>
      <c r="J8" s="17"/>
      <c r="K8" s="17"/>
    </row>
    <row r="9" spans="1:11" x14ac:dyDescent="0.3">
      <c r="A9" s="35">
        <v>1</v>
      </c>
      <c r="B9" s="20" t="s">
        <v>57</v>
      </c>
      <c r="C9" s="53" t="s">
        <v>73</v>
      </c>
      <c r="D9" s="31">
        <v>62</v>
      </c>
      <c r="E9" s="6"/>
      <c r="F9" s="6">
        <f t="shared" ref="F9:F32" si="0">E9*D9</f>
        <v>0</v>
      </c>
      <c r="G9" s="6">
        <v>3</v>
      </c>
      <c r="H9" s="6">
        <f t="shared" ref="H9:H32" si="1">G9*D9</f>
        <v>186</v>
      </c>
      <c r="I9" s="6">
        <v>0.08</v>
      </c>
      <c r="J9" s="6">
        <f t="shared" ref="J9:J32" si="2">I9*D9</f>
        <v>4.96</v>
      </c>
      <c r="K9" s="6">
        <f t="shared" ref="K9:K32" si="3">J9+H9+F9</f>
        <v>190.96</v>
      </c>
    </row>
    <row r="10" spans="1:11" x14ac:dyDescent="0.3">
      <c r="A10" s="35">
        <v>2</v>
      </c>
      <c r="B10" s="20" t="s">
        <v>59</v>
      </c>
      <c r="C10" s="53" t="s">
        <v>73</v>
      </c>
      <c r="D10" s="31">
        <v>45</v>
      </c>
      <c r="E10" s="6"/>
      <c r="F10" s="6">
        <f t="shared" si="0"/>
        <v>0</v>
      </c>
      <c r="G10" s="6">
        <v>3</v>
      </c>
      <c r="H10" s="6">
        <f t="shared" si="1"/>
        <v>135</v>
      </c>
      <c r="I10" s="6">
        <v>0.01</v>
      </c>
      <c r="J10" s="6">
        <f t="shared" si="2"/>
        <v>0.45</v>
      </c>
      <c r="K10" s="6">
        <f t="shared" si="3"/>
        <v>135.44999999999999</v>
      </c>
    </row>
    <row r="11" spans="1:11" x14ac:dyDescent="0.3">
      <c r="A11" s="35">
        <v>3</v>
      </c>
      <c r="B11" s="9" t="s">
        <v>24</v>
      </c>
      <c r="C11" s="53" t="s">
        <v>74</v>
      </c>
      <c r="D11" s="6">
        <v>25.8</v>
      </c>
      <c r="E11" s="6"/>
      <c r="F11" s="6">
        <f t="shared" si="0"/>
        <v>0</v>
      </c>
      <c r="G11" s="6">
        <v>55</v>
      </c>
      <c r="H11" s="6">
        <f t="shared" si="1"/>
        <v>1419</v>
      </c>
      <c r="I11" s="6">
        <v>25</v>
      </c>
      <c r="J11" s="6">
        <f t="shared" si="2"/>
        <v>645</v>
      </c>
      <c r="K11" s="6">
        <f t="shared" si="3"/>
        <v>2064</v>
      </c>
    </row>
    <row r="12" spans="1:11" x14ac:dyDescent="0.3">
      <c r="A12" s="35">
        <v>4</v>
      </c>
      <c r="B12" s="9" t="s">
        <v>25</v>
      </c>
      <c r="C12" s="53" t="s">
        <v>23</v>
      </c>
      <c r="D12" s="6">
        <f>D11*1.5</f>
        <v>38.700000000000003</v>
      </c>
      <c r="E12" s="6"/>
      <c r="F12" s="6">
        <f t="shared" si="0"/>
        <v>0</v>
      </c>
      <c r="G12" s="6">
        <v>25</v>
      </c>
      <c r="H12" s="6">
        <f t="shared" si="1"/>
        <v>967.50000000000011</v>
      </c>
      <c r="I12" s="6">
        <v>20</v>
      </c>
      <c r="J12" s="6">
        <f t="shared" si="2"/>
        <v>774</v>
      </c>
      <c r="K12" s="6">
        <f t="shared" si="3"/>
        <v>1741.5</v>
      </c>
    </row>
    <row r="13" spans="1:11" x14ac:dyDescent="0.3">
      <c r="A13" s="35"/>
      <c r="B13" s="10" t="s">
        <v>21</v>
      </c>
      <c r="C13" s="53"/>
      <c r="D13" s="6"/>
      <c r="E13" s="6"/>
      <c r="F13" s="6">
        <f t="shared" si="0"/>
        <v>0</v>
      </c>
      <c r="G13" s="6"/>
      <c r="H13" s="6">
        <f t="shared" si="1"/>
        <v>0</v>
      </c>
      <c r="I13" s="6"/>
      <c r="J13" s="6">
        <f t="shared" si="2"/>
        <v>0</v>
      </c>
      <c r="K13" s="6">
        <f t="shared" si="3"/>
        <v>0</v>
      </c>
    </row>
    <row r="14" spans="1:11" x14ac:dyDescent="0.3">
      <c r="A14" s="35">
        <v>1</v>
      </c>
      <c r="B14" s="38" t="s">
        <v>60</v>
      </c>
      <c r="C14" s="53" t="s">
        <v>8</v>
      </c>
      <c r="D14" s="6">
        <v>62</v>
      </c>
      <c r="E14" s="41"/>
      <c r="F14" s="6">
        <f t="shared" si="0"/>
        <v>0</v>
      </c>
      <c r="G14" s="6">
        <v>15</v>
      </c>
      <c r="H14" s="6">
        <f t="shared" si="1"/>
        <v>930</v>
      </c>
      <c r="I14" s="41"/>
      <c r="J14" s="6">
        <f t="shared" si="2"/>
        <v>0</v>
      </c>
      <c r="K14" s="6">
        <f t="shared" si="3"/>
        <v>930</v>
      </c>
    </row>
    <row r="15" spans="1:11" x14ac:dyDescent="0.3">
      <c r="A15" s="39"/>
      <c r="B15" s="9" t="s">
        <v>61</v>
      </c>
      <c r="C15" s="53" t="s">
        <v>8</v>
      </c>
      <c r="D15" s="6">
        <f>D14*1.1</f>
        <v>68.2</v>
      </c>
      <c r="E15" s="6">
        <v>10</v>
      </c>
      <c r="F15" s="6">
        <f t="shared" si="0"/>
        <v>682</v>
      </c>
      <c r="G15" s="6"/>
      <c r="H15" s="6">
        <f t="shared" si="1"/>
        <v>0</v>
      </c>
      <c r="I15" s="6">
        <v>1</v>
      </c>
      <c r="J15" s="6">
        <f t="shared" si="2"/>
        <v>68.2</v>
      </c>
      <c r="K15" s="6">
        <f t="shared" si="3"/>
        <v>750.2</v>
      </c>
    </row>
    <row r="16" spans="1:11" x14ac:dyDescent="0.3">
      <c r="A16" s="39"/>
      <c r="B16" s="40" t="s">
        <v>62</v>
      </c>
      <c r="C16" s="53" t="s">
        <v>10</v>
      </c>
      <c r="D16" s="6">
        <f>D14*1.1</f>
        <v>68.2</v>
      </c>
      <c r="E16" s="6">
        <v>5</v>
      </c>
      <c r="F16" s="6">
        <f t="shared" si="0"/>
        <v>341</v>
      </c>
      <c r="G16" s="6"/>
      <c r="H16" s="6">
        <f t="shared" si="1"/>
        <v>0</v>
      </c>
      <c r="I16" s="6">
        <v>0.1</v>
      </c>
      <c r="J16" s="6">
        <f t="shared" si="2"/>
        <v>6.82</v>
      </c>
      <c r="K16" s="6">
        <f t="shared" si="3"/>
        <v>347.82</v>
      </c>
    </row>
    <row r="17" spans="1:11" x14ac:dyDescent="0.3">
      <c r="A17" s="39"/>
      <c r="B17" s="20" t="s">
        <v>63</v>
      </c>
      <c r="C17" s="53" t="s">
        <v>27</v>
      </c>
      <c r="D17" s="6">
        <f>D14*10</f>
        <v>620</v>
      </c>
      <c r="E17" s="6">
        <v>0.03</v>
      </c>
      <c r="F17" s="6">
        <f t="shared" si="0"/>
        <v>18.599999999999998</v>
      </c>
      <c r="G17" s="6"/>
      <c r="H17" s="6">
        <f t="shared" si="1"/>
        <v>0</v>
      </c>
      <c r="I17" s="6">
        <v>0.01</v>
      </c>
      <c r="J17" s="6">
        <f t="shared" si="2"/>
        <v>6.2</v>
      </c>
      <c r="K17" s="6">
        <f t="shared" si="3"/>
        <v>24.799999999999997</v>
      </c>
    </row>
    <row r="18" spans="1:11" x14ac:dyDescent="0.3">
      <c r="A18" s="39"/>
      <c r="B18" s="9" t="s">
        <v>11</v>
      </c>
      <c r="C18" s="53" t="s">
        <v>12</v>
      </c>
      <c r="D18" s="6">
        <f>D14*0.5</f>
        <v>31</v>
      </c>
      <c r="E18" s="6">
        <v>4</v>
      </c>
      <c r="F18" s="6">
        <f t="shared" si="0"/>
        <v>124</v>
      </c>
      <c r="G18" s="6"/>
      <c r="H18" s="6">
        <f t="shared" si="1"/>
        <v>0</v>
      </c>
      <c r="I18" s="6"/>
      <c r="J18" s="6">
        <f t="shared" si="2"/>
        <v>0</v>
      </c>
      <c r="K18" s="6">
        <f t="shared" si="3"/>
        <v>124</v>
      </c>
    </row>
    <row r="19" spans="1:11" x14ac:dyDescent="0.3">
      <c r="A19" s="35">
        <v>2</v>
      </c>
      <c r="B19" s="19" t="s">
        <v>64</v>
      </c>
      <c r="C19" s="55" t="s">
        <v>8</v>
      </c>
      <c r="D19" s="28">
        <v>250</v>
      </c>
      <c r="E19" s="6"/>
      <c r="F19" s="6">
        <f t="shared" si="0"/>
        <v>0</v>
      </c>
      <c r="G19" s="6">
        <v>15</v>
      </c>
      <c r="H19" s="6">
        <f t="shared" si="1"/>
        <v>3750</v>
      </c>
      <c r="I19" s="6"/>
      <c r="J19" s="6">
        <f t="shared" si="2"/>
        <v>0</v>
      </c>
      <c r="K19" s="6">
        <f t="shared" si="3"/>
        <v>3750</v>
      </c>
    </row>
    <row r="20" spans="1:11" x14ac:dyDescent="0.3">
      <c r="A20" s="35"/>
      <c r="B20" s="33" t="s">
        <v>29</v>
      </c>
      <c r="C20" s="53" t="s">
        <v>13</v>
      </c>
      <c r="D20" s="31">
        <f>0.7*45</f>
        <v>31.499999999999996</v>
      </c>
      <c r="E20" s="6">
        <v>0.9</v>
      </c>
      <c r="F20" s="6">
        <f t="shared" si="0"/>
        <v>28.349999999999998</v>
      </c>
      <c r="G20" s="6"/>
      <c r="H20" s="6">
        <f t="shared" si="1"/>
        <v>0</v>
      </c>
      <c r="I20" s="6">
        <v>0.1</v>
      </c>
      <c r="J20" s="6">
        <f t="shared" si="2"/>
        <v>3.15</v>
      </c>
      <c r="K20" s="6">
        <f t="shared" si="3"/>
        <v>31.499999999999996</v>
      </c>
    </row>
    <row r="21" spans="1:11" x14ac:dyDescent="0.3">
      <c r="A21" s="35"/>
      <c r="B21" s="20" t="s">
        <v>50</v>
      </c>
      <c r="C21" s="53" t="s">
        <v>13</v>
      </c>
      <c r="D21" s="31">
        <f>D19*0.35</f>
        <v>87.5</v>
      </c>
      <c r="E21" s="6">
        <v>12</v>
      </c>
      <c r="F21" s="6">
        <f t="shared" si="0"/>
        <v>1050</v>
      </c>
      <c r="G21" s="6"/>
      <c r="H21" s="6">
        <f t="shared" si="1"/>
        <v>0</v>
      </c>
      <c r="I21" s="6">
        <v>0.1</v>
      </c>
      <c r="J21" s="6">
        <f t="shared" si="2"/>
        <v>8.75</v>
      </c>
      <c r="K21" s="6">
        <f t="shared" si="3"/>
        <v>1058.75</v>
      </c>
    </row>
    <row r="22" spans="1:11" x14ac:dyDescent="0.3">
      <c r="A22" s="35"/>
      <c r="B22" s="20" t="s">
        <v>41</v>
      </c>
      <c r="C22" s="53" t="s">
        <v>13</v>
      </c>
      <c r="D22" s="31">
        <f>D19*0.15</f>
        <v>37.5</v>
      </c>
      <c r="E22" s="6">
        <v>5</v>
      </c>
      <c r="F22" s="6">
        <f t="shared" si="0"/>
        <v>187.5</v>
      </c>
      <c r="G22" s="6"/>
      <c r="H22" s="6">
        <f t="shared" si="1"/>
        <v>0</v>
      </c>
      <c r="I22" s="6">
        <v>0.1</v>
      </c>
      <c r="J22" s="6">
        <f t="shared" si="2"/>
        <v>3.75</v>
      </c>
      <c r="K22" s="6">
        <f t="shared" si="3"/>
        <v>191.25</v>
      </c>
    </row>
    <row r="23" spans="1:11" x14ac:dyDescent="0.3">
      <c r="A23" s="35"/>
      <c r="B23" s="33" t="s">
        <v>30</v>
      </c>
      <c r="C23" s="53" t="s">
        <v>8</v>
      </c>
      <c r="D23" s="6">
        <f>0.009*D19</f>
        <v>2.25</v>
      </c>
      <c r="E23" s="6">
        <v>25</v>
      </c>
      <c r="F23" s="6">
        <f t="shared" si="0"/>
        <v>56.25</v>
      </c>
      <c r="G23" s="6"/>
      <c r="H23" s="6">
        <f t="shared" si="1"/>
        <v>0</v>
      </c>
      <c r="I23" s="6">
        <v>0.1</v>
      </c>
      <c r="J23" s="6">
        <f t="shared" si="2"/>
        <v>0.22500000000000001</v>
      </c>
      <c r="K23" s="6">
        <f t="shared" si="3"/>
        <v>56.475000000000001</v>
      </c>
    </row>
    <row r="24" spans="1:11" x14ac:dyDescent="0.3">
      <c r="A24" s="35"/>
      <c r="B24" s="33" t="s">
        <v>36</v>
      </c>
      <c r="C24" s="53" t="s">
        <v>10</v>
      </c>
      <c r="D24" s="31">
        <f>0.5*D19</f>
        <v>125</v>
      </c>
      <c r="E24" s="6">
        <v>1.4</v>
      </c>
      <c r="F24" s="6">
        <f t="shared" si="0"/>
        <v>175</v>
      </c>
      <c r="G24" s="6"/>
      <c r="H24" s="6">
        <f t="shared" si="1"/>
        <v>0</v>
      </c>
      <c r="I24" s="6">
        <v>0.01</v>
      </c>
      <c r="J24" s="6">
        <f t="shared" si="2"/>
        <v>1.25</v>
      </c>
      <c r="K24" s="6">
        <f t="shared" si="3"/>
        <v>176.25</v>
      </c>
    </row>
    <row r="25" spans="1:11" x14ac:dyDescent="0.3">
      <c r="A25" s="35"/>
      <c r="B25" s="33" t="s">
        <v>11</v>
      </c>
      <c r="C25" s="53" t="s">
        <v>12</v>
      </c>
      <c r="D25" s="6">
        <f>D19*0.01</f>
        <v>2.5</v>
      </c>
      <c r="E25" s="6">
        <v>8</v>
      </c>
      <c r="F25" s="6">
        <f t="shared" si="0"/>
        <v>20</v>
      </c>
      <c r="G25" s="6"/>
      <c r="H25" s="6">
        <f t="shared" si="1"/>
        <v>0</v>
      </c>
      <c r="I25" s="6"/>
      <c r="J25" s="6">
        <f t="shared" si="2"/>
        <v>0</v>
      </c>
      <c r="K25" s="6">
        <f t="shared" si="3"/>
        <v>20</v>
      </c>
    </row>
    <row r="26" spans="1:11" x14ac:dyDescent="0.3">
      <c r="A26" s="35">
        <v>3</v>
      </c>
      <c r="B26" s="12" t="s">
        <v>31</v>
      </c>
      <c r="C26" s="55" t="s">
        <v>10</v>
      </c>
      <c r="D26" s="28">
        <v>110</v>
      </c>
      <c r="E26" s="6"/>
      <c r="F26" s="6">
        <f t="shared" si="0"/>
        <v>0</v>
      </c>
      <c r="G26" s="6">
        <v>7</v>
      </c>
      <c r="H26" s="6">
        <f t="shared" si="1"/>
        <v>770</v>
      </c>
      <c r="I26" s="6"/>
      <c r="J26" s="6">
        <f t="shared" si="2"/>
        <v>0</v>
      </c>
      <c r="K26" s="6">
        <f t="shared" si="3"/>
        <v>770</v>
      </c>
    </row>
    <row r="27" spans="1:11" x14ac:dyDescent="0.3">
      <c r="A27" s="35"/>
      <c r="B27" s="5" t="s">
        <v>32</v>
      </c>
      <c r="C27" s="53" t="s">
        <v>10</v>
      </c>
      <c r="D27" s="6">
        <f>1.03*D26</f>
        <v>113.3</v>
      </c>
      <c r="E27" s="6">
        <v>11</v>
      </c>
      <c r="F27" s="6">
        <f t="shared" si="0"/>
        <v>1246.3</v>
      </c>
      <c r="G27" s="6"/>
      <c r="H27" s="6">
        <f t="shared" si="1"/>
        <v>0</v>
      </c>
      <c r="I27" s="6">
        <v>0.2</v>
      </c>
      <c r="J27" s="6">
        <f t="shared" si="2"/>
        <v>22.66</v>
      </c>
      <c r="K27" s="6">
        <f t="shared" si="3"/>
        <v>1268.96</v>
      </c>
    </row>
    <row r="28" spans="1:11" x14ac:dyDescent="0.3">
      <c r="A28" s="35"/>
      <c r="B28" s="5" t="s">
        <v>34</v>
      </c>
      <c r="C28" s="53" t="s">
        <v>27</v>
      </c>
      <c r="D28" s="6">
        <f>D26*4</f>
        <v>440</v>
      </c>
      <c r="E28" s="6">
        <v>0.04</v>
      </c>
      <c r="F28" s="6">
        <f t="shared" si="0"/>
        <v>17.600000000000001</v>
      </c>
      <c r="G28" s="6"/>
      <c r="H28" s="6">
        <f t="shared" si="1"/>
        <v>0</v>
      </c>
      <c r="I28" s="6">
        <v>0.01</v>
      </c>
      <c r="J28" s="6">
        <f t="shared" si="2"/>
        <v>4.4000000000000004</v>
      </c>
      <c r="K28" s="6">
        <f t="shared" si="3"/>
        <v>22</v>
      </c>
    </row>
    <row r="29" spans="1:11" x14ac:dyDescent="0.3">
      <c r="A29" s="35"/>
      <c r="B29" s="5" t="s">
        <v>33</v>
      </c>
      <c r="C29" s="53" t="s">
        <v>27</v>
      </c>
      <c r="D29" s="6">
        <v>15</v>
      </c>
      <c r="E29" s="6">
        <v>14</v>
      </c>
      <c r="F29" s="6">
        <f t="shared" si="0"/>
        <v>210</v>
      </c>
      <c r="G29" s="6"/>
      <c r="H29" s="6">
        <f t="shared" si="1"/>
        <v>0</v>
      </c>
      <c r="I29" s="6">
        <v>0.1</v>
      </c>
      <c r="J29" s="6">
        <f t="shared" si="2"/>
        <v>1.5</v>
      </c>
      <c r="K29" s="6">
        <f t="shared" si="3"/>
        <v>211.5</v>
      </c>
    </row>
    <row r="30" spans="1:11" x14ac:dyDescent="0.3">
      <c r="A30" s="35"/>
      <c r="B30" s="5" t="s">
        <v>11</v>
      </c>
      <c r="C30" s="53" t="s">
        <v>12</v>
      </c>
      <c r="D30" s="6">
        <f>D26*0.03</f>
        <v>3.3</v>
      </c>
      <c r="E30" s="6">
        <v>8</v>
      </c>
      <c r="F30" s="6">
        <f t="shared" si="0"/>
        <v>26.4</v>
      </c>
      <c r="G30" s="6"/>
      <c r="H30" s="6">
        <f t="shared" si="1"/>
        <v>0</v>
      </c>
      <c r="I30" s="6"/>
      <c r="J30" s="6">
        <f t="shared" si="2"/>
        <v>0</v>
      </c>
      <c r="K30" s="6">
        <f t="shared" si="3"/>
        <v>26.4</v>
      </c>
    </row>
    <row r="31" spans="1:11" x14ac:dyDescent="0.3">
      <c r="A31" s="35">
        <v>4</v>
      </c>
      <c r="B31" s="9" t="s">
        <v>24</v>
      </c>
      <c r="C31" s="53" t="s">
        <v>74</v>
      </c>
      <c r="D31" s="6">
        <v>22</v>
      </c>
      <c r="E31" s="6"/>
      <c r="F31" s="6">
        <f t="shared" si="0"/>
        <v>0</v>
      </c>
      <c r="G31" s="6">
        <v>55</v>
      </c>
      <c r="H31" s="6">
        <f t="shared" si="1"/>
        <v>1210</v>
      </c>
      <c r="I31" s="6">
        <v>25</v>
      </c>
      <c r="J31" s="6">
        <f t="shared" si="2"/>
        <v>550</v>
      </c>
      <c r="K31" s="6">
        <f t="shared" si="3"/>
        <v>1760</v>
      </c>
    </row>
    <row r="32" spans="1:11" x14ac:dyDescent="0.3">
      <c r="A32" s="35">
        <v>5</v>
      </c>
      <c r="B32" s="9" t="s">
        <v>25</v>
      </c>
      <c r="C32" s="53" t="s">
        <v>23</v>
      </c>
      <c r="D32" s="6">
        <f>D31*1.1</f>
        <v>24.200000000000003</v>
      </c>
      <c r="E32" s="6"/>
      <c r="F32" s="6">
        <f t="shared" si="0"/>
        <v>0</v>
      </c>
      <c r="G32" s="6">
        <v>25</v>
      </c>
      <c r="H32" s="6">
        <f t="shared" si="1"/>
        <v>605.00000000000011</v>
      </c>
      <c r="I32" s="6">
        <v>20</v>
      </c>
      <c r="J32" s="6">
        <f t="shared" si="2"/>
        <v>484.00000000000006</v>
      </c>
      <c r="K32" s="6">
        <f t="shared" si="3"/>
        <v>1089.0000000000002</v>
      </c>
    </row>
    <row r="33" spans="1:11" x14ac:dyDescent="0.3">
      <c r="A33" s="22"/>
      <c r="B33" s="7" t="s">
        <v>6</v>
      </c>
      <c r="C33" s="53"/>
      <c r="D33" s="6"/>
      <c r="E33" s="6"/>
      <c r="F33" s="6">
        <f>SUM(F9:F32)</f>
        <v>4183</v>
      </c>
      <c r="G33" s="6"/>
      <c r="H33" s="6">
        <f>SUM(H9:H32)</f>
        <v>9972.5</v>
      </c>
      <c r="I33" s="6"/>
      <c r="J33" s="6">
        <f>SUM(J9:J32)</f>
        <v>2585.3150000000001</v>
      </c>
      <c r="K33" s="6">
        <f>SUM(K9:K32)</f>
        <v>16740.815000000002</v>
      </c>
    </row>
    <row r="34" spans="1:11" x14ac:dyDescent="0.3">
      <c r="A34" s="8"/>
      <c r="B34" s="13" t="s">
        <v>14</v>
      </c>
      <c r="C34" s="59">
        <v>0.05</v>
      </c>
      <c r="D34" s="16"/>
      <c r="E34" s="15"/>
      <c r="F34" s="16"/>
      <c r="G34" s="16"/>
      <c r="H34" s="16"/>
      <c r="I34" s="16"/>
      <c r="J34" s="15"/>
      <c r="K34" s="16">
        <f>K33*C34</f>
        <v>837.04075000000012</v>
      </c>
    </row>
    <row r="35" spans="1:11" x14ac:dyDescent="0.3">
      <c r="A35" s="8"/>
      <c r="B35" s="18" t="s">
        <v>6</v>
      </c>
      <c r="C35" s="52"/>
      <c r="D35" s="16"/>
      <c r="E35" s="15"/>
      <c r="F35" s="15"/>
      <c r="G35" s="16"/>
      <c r="H35" s="16"/>
      <c r="I35" s="16"/>
      <c r="J35" s="15"/>
      <c r="K35" s="16">
        <f>K34+K33</f>
        <v>17577.855750000002</v>
      </c>
    </row>
    <row r="36" spans="1:11" x14ac:dyDescent="0.3">
      <c r="A36" s="8"/>
      <c r="B36" s="13" t="s">
        <v>15</v>
      </c>
      <c r="C36" s="59">
        <v>0.1</v>
      </c>
      <c r="D36" s="16"/>
      <c r="E36" s="15"/>
      <c r="F36" s="15"/>
      <c r="G36" s="16"/>
      <c r="H36" s="16"/>
      <c r="I36" s="16"/>
      <c r="J36" s="15"/>
      <c r="K36" s="16">
        <f>K35*C36</f>
        <v>1757.7855750000003</v>
      </c>
    </row>
    <row r="37" spans="1:11" x14ac:dyDescent="0.3">
      <c r="A37" s="8"/>
      <c r="B37" s="18" t="s">
        <v>6</v>
      </c>
      <c r="C37" s="52"/>
      <c r="D37" s="16"/>
      <c r="E37" s="15"/>
      <c r="F37" s="15"/>
      <c r="G37" s="16"/>
      <c r="H37" s="16"/>
      <c r="I37" s="16"/>
      <c r="J37" s="15"/>
      <c r="K37" s="16">
        <f>SUM(K35:K36)</f>
        <v>19335.641325000004</v>
      </c>
    </row>
    <row r="38" spans="1:11" x14ac:dyDescent="0.3">
      <c r="A38" s="8"/>
      <c r="B38" s="13" t="s">
        <v>16</v>
      </c>
      <c r="C38" s="59">
        <v>0.08</v>
      </c>
      <c r="D38" s="16"/>
      <c r="E38" s="15"/>
      <c r="F38" s="15"/>
      <c r="G38" s="16"/>
      <c r="H38" s="16"/>
      <c r="I38" s="16"/>
      <c r="J38" s="15"/>
      <c r="K38" s="16">
        <f>K37*C38</f>
        <v>1546.8513060000005</v>
      </c>
    </row>
    <row r="39" spans="1:11" x14ac:dyDescent="0.3">
      <c r="A39" s="14"/>
      <c r="B39" s="18" t="s">
        <v>6</v>
      </c>
      <c r="C39" s="52"/>
      <c r="D39" s="16"/>
      <c r="E39" s="15"/>
      <c r="F39" s="15"/>
      <c r="G39" s="16"/>
      <c r="H39" s="16"/>
      <c r="I39" s="16"/>
      <c r="J39" s="15"/>
      <c r="K39" s="16">
        <f>SUM(K37:K38)</f>
        <v>20882.492631000005</v>
      </c>
    </row>
    <row r="40" spans="1:11" x14ac:dyDescent="0.3">
      <c r="A40" s="14"/>
      <c r="B40" s="13" t="s">
        <v>19</v>
      </c>
      <c r="C40" s="59">
        <v>0.03</v>
      </c>
      <c r="D40" s="16"/>
      <c r="E40" s="15"/>
      <c r="F40" s="15"/>
      <c r="G40" s="16"/>
      <c r="H40" s="16"/>
      <c r="I40" s="16"/>
      <c r="J40" s="15"/>
      <c r="K40" s="16">
        <f>K39*C40</f>
        <v>626.47477893000007</v>
      </c>
    </row>
    <row r="41" spans="1:11" x14ac:dyDescent="0.3">
      <c r="A41" s="14"/>
      <c r="B41" s="13" t="s">
        <v>28</v>
      </c>
      <c r="C41" s="59">
        <v>0.02</v>
      </c>
      <c r="D41" s="16"/>
      <c r="E41" s="15"/>
      <c r="F41" s="15"/>
      <c r="G41" s="16"/>
      <c r="H41" s="16"/>
      <c r="I41" s="16"/>
      <c r="J41" s="15"/>
      <c r="K41" s="16">
        <f>H33*C41</f>
        <v>199.45000000000002</v>
      </c>
    </row>
    <row r="42" spans="1:11" x14ac:dyDescent="0.3">
      <c r="A42" s="14"/>
      <c r="B42" s="18" t="s">
        <v>6</v>
      </c>
      <c r="C42" s="52"/>
      <c r="D42" s="16"/>
      <c r="E42" s="15"/>
      <c r="F42" s="15"/>
      <c r="G42" s="16"/>
      <c r="H42" s="16"/>
      <c r="I42" s="16"/>
      <c r="J42" s="15"/>
      <c r="K42" s="16">
        <f>K41+K40+K39</f>
        <v>21708.417409930003</v>
      </c>
    </row>
    <row r="43" spans="1:11" x14ac:dyDescent="0.3">
      <c r="A43" s="8"/>
      <c r="B43" s="8" t="s">
        <v>17</v>
      </c>
      <c r="C43" s="59">
        <v>0.18</v>
      </c>
      <c r="D43" s="16"/>
      <c r="E43" s="15"/>
      <c r="F43" s="15"/>
      <c r="G43" s="15"/>
      <c r="H43" s="15"/>
      <c r="I43" s="15"/>
      <c r="J43" s="15"/>
      <c r="K43" s="16">
        <f>K42*C43</f>
        <v>3907.5151337874004</v>
      </c>
    </row>
    <row r="44" spans="1:11" x14ac:dyDescent="0.3">
      <c r="A44" s="7"/>
      <c r="B44" s="11" t="s">
        <v>18</v>
      </c>
      <c r="C44" s="4"/>
      <c r="D44" s="7"/>
      <c r="E44" s="7"/>
      <c r="F44" s="7"/>
      <c r="G44" s="7"/>
      <c r="H44" s="7"/>
      <c r="I44" s="7"/>
      <c r="J44" s="7"/>
      <c r="K44" s="25">
        <f>K43+K42</f>
        <v>25615.932543717405</v>
      </c>
    </row>
  </sheetData>
  <mergeCells count="13">
    <mergeCell ref="B2:K2"/>
    <mergeCell ref="A3:K3"/>
    <mergeCell ref="E4:H4"/>
    <mergeCell ref="A1:K1"/>
    <mergeCell ref="I4:K4"/>
    <mergeCell ref="I5:J5"/>
    <mergeCell ref="K5:K6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3"/>
  <sheetViews>
    <sheetView topLeftCell="A6" zoomScale="139" workbookViewId="0">
      <selection activeCell="H45" sqref="H45"/>
    </sheetView>
  </sheetViews>
  <sheetFormatPr defaultColWidth="8.77734375" defaultRowHeight="14.4" x14ac:dyDescent="0.3"/>
  <cols>
    <col min="1" max="1" width="3.109375" customWidth="1"/>
    <col min="2" max="2" width="55.33203125" customWidth="1"/>
    <col min="4" max="4" width="10.33203125" customWidth="1"/>
    <col min="11" max="11" width="13.77734375" customWidth="1"/>
  </cols>
  <sheetData>
    <row r="1" spans="1:11" ht="18" customHeight="1" x14ac:dyDescent="0.3">
      <c r="A1" s="162" t="s">
        <v>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x14ac:dyDescent="0.3">
      <c r="A2" s="43"/>
      <c r="B2" s="156" t="s">
        <v>48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x14ac:dyDescent="0.3">
      <c r="A3" s="157" t="s">
        <v>35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x14ac:dyDescent="0.3">
      <c r="A4" s="44"/>
      <c r="B4" s="45" t="s">
        <v>43</v>
      </c>
      <c r="C4" s="46"/>
      <c r="D4" s="46"/>
      <c r="E4" s="140" t="s">
        <v>22</v>
      </c>
      <c r="F4" s="140"/>
      <c r="G4" s="140"/>
      <c r="H4" s="140"/>
      <c r="I4" s="159">
        <f>K53</f>
        <v>147597.31074780741</v>
      </c>
      <c r="J4" s="159"/>
      <c r="K4" s="159"/>
    </row>
    <row r="5" spans="1:11" x14ac:dyDescent="0.3">
      <c r="A5" s="146" t="s">
        <v>26</v>
      </c>
      <c r="B5" s="146" t="s">
        <v>0</v>
      </c>
      <c r="C5" s="146" t="s">
        <v>1</v>
      </c>
      <c r="D5" s="150" t="s">
        <v>2</v>
      </c>
      <c r="E5" s="154" t="s">
        <v>3</v>
      </c>
      <c r="F5" s="155"/>
      <c r="G5" s="154" t="s">
        <v>4</v>
      </c>
      <c r="H5" s="155"/>
      <c r="I5" s="144" t="s">
        <v>5</v>
      </c>
      <c r="J5" s="145"/>
      <c r="K5" s="146" t="s">
        <v>6</v>
      </c>
    </row>
    <row r="6" spans="1:11" x14ac:dyDescent="0.3">
      <c r="A6" s="147"/>
      <c r="B6" s="147"/>
      <c r="C6" s="147"/>
      <c r="D6" s="151"/>
      <c r="E6" s="52" t="s">
        <v>7</v>
      </c>
      <c r="F6" s="52" t="s">
        <v>6</v>
      </c>
      <c r="G6" s="52" t="s">
        <v>7</v>
      </c>
      <c r="H6" s="52" t="s">
        <v>6</v>
      </c>
      <c r="I6" s="52" t="s">
        <v>7</v>
      </c>
      <c r="J6" s="52" t="s">
        <v>6</v>
      </c>
      <c r="K6" s="147"/>
    </row>
    <row r="7" spans="1:11" x14ac:dyDescent="0.3">
      <c r="A7" s="53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</row>
    <row r="8" spans="1:11" x14ac:dyDescent="0.3">
      <c r="A8" s="7"/>
      <c r="B8" s="10" t="s">
        <v>20</v>
      </c>
      <c r="C8" s="58"/>
      <c r="D8" s="17"/>
      <c r="E8" s="17"/>
      <c r="F8" s="17"/>
      <c r="G8" s="17"/>
      <c r="H8" s="17"/>
      <c r="I8" s="17"/>
      <c r="J8" s="17"/>
      <c r="K8" s="17"/>
    </row>
    <row r="9" spans="1:11" x14ac:dyDescent="0.3">
      <c r="A9" s="35">
        <v>1</v>
      </c>
      <c r="B9" s="20" t="s">
        <v>46</v>
      </c>
      <c r="C9" s="53" t="s">
        <v>73</v>
      </c>
      <c r="D9" s="31">
        <v>70</v>
      </c>
      <c r="E9" s="6"/>
      <c r="F9" s="6">
        <f t="shared" ref="F9:F41" si="0">E9*D9</f>
        <v>0</v>
      </c>
      <c r="G9" s="6">
        <v>3</v>
      </c>
      <c r="H9" s="6">
        <f>G9*D9</f>
        <v>210</v>
      </c>
      <c r="I9" s="6">
        <v>0.08</v>
      </c>
      <c r="J9" s="6">
        <f>I9*D9</f>
        <v>5.6000000000000005</v>
      </c>
      <c r="K9" s="6">
        <f>J9+H9+F9</f>
        <v>215.6</v>
      </c>
    </row>
    <row r="10" spans="1:11" x14ac:dyDescent="0.3">
      <c r="A10" s="35">
        <v>2</v>
      </c>
      <c r="B10" s="20" t="s">
        <v>47</v>
      </c>
      <c r="C10" s="53" t="s">
        <v>9</v>
      </c>
      <c r="D10" s="31">
        <v>4</v>
      </c>
      <c r="E10" s="6"/>
      <c r="F10" s="6">
        <f t="shared" si="0"/>
        <v>0</v>
      </c>
      <c r="G10" s="6">
        <v>20</v>
      </c>
      <c r="H10" s="6">
        <f t="shared" ref="H10:H41" si="1">G10*D10</f>
        <v>80</v>
      </c>
      <c r="I10" s="6">
        <v>1.5</v>
      </c>
      <c r="J10" s="6">
        <f t="shared" ref="J10:J41" si="2">I10*D10</f>
        <v>6</v>
      </c>
      <c r="K10" s="6">
        <f t="shared" ref="K10:K41" si="3">J10+H10+F10</f>
        <v>86</v>
      </c>
    </row>
    <row r="11" spans="1:11" x14ac:dyDescent="0.3">
      <c r="A11" s="35">
        <v>3</v>
      </c>
      <c r="B11" s="9" t="s">
        <v>24</v>
      </c>
      <c r="C11" s="53" t="s">
        <v>74</v>
      </c>
      <c r="D11" s="6">
        <f>D10*0.05</f>
        <v>0.2</v>
      </c>
      <c r="E11" s="6"/>
      <c r="F11" s="6">
        <f t="shared" si="0"/>
        <v>0</v>
      </c>
      <c r="G11" s="6">
        <v>55</v>
      </c>
      <c r="H11" s="6">
        <f t="shared" si="1"/>
        <v>11</v>
      </c>
      <c r="I11" s="6">
        <v>25</v>
      </c>
      <c r="J11" s="6">
        <f t="shared" si="2"/>
        <v>5</v>
      </c>
      <c r="K11" s="6">
        <f t="shared" si="3"/>
        <v>16</v>
      </c>
    </row>
    <row r="12" spans="1:11" x14ac:dyDescent="0.3">
      <c r="A12" s="35">
        <v>4</v>
      </c>
      <c r="B12" s="9" t="s">
        <v>25</v>
      </c>
      <c r="C12" s="53" t="s">
        <v>23</v>
      </c>
      <c r="D12" s="6">
        <f>D11*1.8</f>
        <v>0.36000000000000004</v>
      </c>
      <c r="E12" s="6"/>
      <c r="F12" s="6">
        <f t="shared" si="0"/>
        <v>0</v>
      </c>
      <c r="G12" s="6">
        <v>25</v>
      </c>
      <c r="H12" s="6">
        <f t="shared" si="1"/>
        <v>9.0000000000000018</v>
      </c>
      <c r="I12" s="6">
        <v>20</v>
      </c>
      <c r="J12" s="6">
        <f t="shared" si="2"/>
        <v>7.2000000000000011</v>
      </c>
      <c r="K12" s="6">
        <f t="shared" si="3"/>
        <v>16.200000000000003</v>
      </c>
    </row>
    <row r="13" spans="1:11" x14ac:dyDescent="0.3">
      <c r="A13" s="35"/>
      <c r="B13" s="10" t="s">
        <v>21</v>
      </c>
      <c r="C13" s="53"/>
      <c r="D13" s="6"/>
      <c r="E13" s="6"/>
      <c r="F13" s="6">
        <f t="shared" si="0"/>
        <v>0</v>
      </c>
      <c r="G13" s="6"/>
      <c r="H13" s="6">
        <f t="shared" si="1"/>
        <v>0</v>
      </c>
      <c r="I13" s="6"/>
      <c r="J13" s="6">
        <f t="shared" si="2"/>
        <v>0</v>
      </c>
      <c r="K13" s="6">
        <f t="shared" si="3"/>
        <v>0</v>
      </c>
    </row>
    <row r="14" spans="1:11" x14ac:dyDescent="0.3">
      <c r="A14" s="35">
        <v>1</v>
      </c>
      <c r="B14" s="19" t="s">
        <v>49</v>
      </c>
      <c r="C14" s="55" t="s">
        <v>8</v>
      </c>
      <c r="D14" s="28">
        <v>410</v>
      </c>
      <c r="E14" s="6"/>
      <c r="F14" s="6">
        <f t="shared" si="0"/>
        <v>0</v>
      </c>
      <c r="G14" s="6">
        <v>15</v>
      </c>
      <c r="H14" s="6">
        <f t="shared" si="1"/>
        <v>6150</v>
      </c>
      <c r="I14" s="6"/>
      <c r="J14" s="6">
        <f t="shared" si="2"/>
        <v>0</v>
      </c>
      <c r="K14" s="6">
        <f t="shared" si="3"/>
        <v>6150</v>
      </c>
    </row>
    <row r="15" spans="1:11" ht="17.25" customHeight="1" x14ac:dyDescent="0.3">
      <c r="A15" s="35"/>
      <c r="B15" s="33" t="s">
        <v>29</v>
      </c>
      <c r="C15" s="53" t="s">
        <v>13</v>
      </c>
      <c r="D15" s="31">
        <f>0.7*70</f>
        <v>49</v>
      </c>
      <c r="E15" s="6">
        <v>0.9</v>
      </c>
      <c r="F15" s="6">
        <f t="shared" si="0"/>
        <v>44.1</v>
      </c>
      <c r="G15" s="6"/>
      <c r="H15" s="6">
        <f t="shared" si="1"/>
        <v>0</v>
      </c>
      <c r="I15" s="6">
        <v>0.1</v>
      </c>
      <c r="J15" s="6">
        <f t="shared" si="2"/>
        <v>4.9000000000000004</v>
      </c>
      <c r="K15" s="6">
        <f t="shared" si="3"/>
        <v>49</v>
      </c>
    </row>
    <row r="16" spans="1:11" ht="17.25" customHeight="1" x14ac:dyDescent="0.3">
      <c r="A16" s="35"/>
      <c r="B16" s="20" t="s">
        <v>50</v>
      </c>
      <c r="C16" s="53" t="s">
        <v>13</v>
      </c>
      <c r="D16" s="31">
        <f>D14*0.35</f>
        <v>143.5</v>
      </c>
      <c r="E16" s="6">
        <v>12</v>
      </c>
      <c r="F16" s="6">
        <f t="shared" si="0"/>
        <v>1722</v>
      </c>
      <c r="G16" s="6"/>
      <c r="H16" s="6">
        <f t="shared" si="1"/>
        <v>0</v>
      </c>
      <c r="I16" s="6">
        <v>0.1</v>
      </c>
      <c r="J16" s="6">
        <f t="shared" si="2"/>
        <v>14.350000000000001</v>
      </c>
      <c r="K16" s="6">
        <f t="shared" si="3"/>
        <v>1736.35</v>
      </c>
    </row>
    <row r="17" spans="1:11" ht="17.25" customHeight="1" x14ac:dyDescent="0.3">
      <c r="A17" s="35"/>
      <c r="B17" s="20" t="s">
        <v>41</v>
      </c>
      <c r="C17" s="53" t="s">
        <v>13</v>
      </c>
      <c r="D17" s="31">
        <f>D14*0.15</f>
        <v>61.5</v>
      </c>
      <c r="E17" s="6">
        <v>5</v>
      </c>
      <c r="F17" s="6">
        <f t="shared" si="0"/>
        <v>307.5</v>
      </c>
      <c r="G17" s="6"/>
      <c r="H17" s="6">
        <f t="shared" si="1"/>
        <v>0</v>
      </c>
      <c r="I17" s="6">
        <v>0.1</v>
      </c>
      <c r="J17" s="6">
        <f t="shared" si="2"/>
        <v>6.15</v>
      </c>
      <c r="K17" s="6">
        <f t="shared" si="3"/>
        <v>313.64999999999998</v>
      </c>
    </row>
    <row r="18" spans="1:11" ht="17.25" customHeight="1" x14ac:dyDescent="0.3">
      <c r="A18" s="35"/>
      <c r="B18" s="33" t="s">
        <v>30</v>
      </c>
      <c r="C18" s="53" t="s">
        <v>8</v>
      </c>
      <c r="D18" s="6">
        <f>0.009*D14</f>
        <v>3.6899999999999995</v>
      </c>
      <c r="E18" s="6">
        <v>25</v>
      </c>
      <c r="F18" s="6">
        <f t="shared" si="0"/>
        <v>92.249999999999986</v>
      </c>
      <c r="G18" s="6"/>
      <c r="H18" s="6">
        <f t="shared" si="1"/>
        <v>0</v>
      </c>
      <c r="I18" s="6">
        <v>0.1</v>
      </c>
      <c r="J18" s="6">
        <f t="shared" si="2"/>
        <v>0.36899999999999999</v>
      </c>
      <c r="K18" s="6">
        <f t="shared" si="3"/>
        <v>92.618999999999986</v>
      </c>
    </row>
    <row r="19" spans="1:11" ht="17.25" customHeight="1" x14ac:dyDescent="0.3">
      <c r="A19" s="35"/>
      <c r="B19" s="33" t="s">
        <v>36</v>
      </c>
      <c r="C19" s="53" t="s">
        <v>10</v>
      </c>
      <c r="D19" s="31">
        <f>0.5*D14</f>
        <v>205</v>
      </c>
      <c r="E19" s="6">
        <v>1.4</v>
      </c>
      <c r="F19" s="6">
        <f t="shared" si="0"/>
        <v>287</v>
      </c>
      <c r="G19" s="6"/>
      <c r="H19" s="6">
        <f t="shared" si="1"/>
        <v>0</v>
      </c>
      <c r="I19" s="6">
        <v>0.01</v>
      </c>
      <c r="J19" s="6">
        <f t="shared" si="2"/>
        <v>2.0499999999999998</v>
      </c>
      <c r="K19" s="6">
        <f t="shared" si="3"/>
        <v>289.05</v>
      </c>
    </row>
    <row r="20" spans="1:11" ht="17.25" customHeight="1" x14ac:dyDescent="0.3">
      <c r="A20" s="35"/>
      <c r="B20" s="33" t="s">
        <v>11</v>
      </c>
      <c r="C20" s="53" t="s">
        <v>12</v>
      </c>
      <c r="D20" s="6">
        <f>D14*0.01</f>
        <v>4.0999999999999996</v>
      </c>
      <c r="E20" s="6">
        <v>8</v>
      </c>
      <c r="F20" s="6">
        <f t="shared" si="0"/>
        <v>32.799999999999997</v>
      </c>
      <c r="G20" s="6"/>
      <c r="H20" s="6">
        <f t="shared" si="1"/>
        <v>0</v>
      </c>
      <c r="I20" s="6"/>
      <c r="J20" s="6">
        <f t="shared" si="2"/>
        <v>0</v>
      </c>
      <c r="K20" s="6">
        <f t="shared" si="3"/>
        <v>32.799999999999997</v>
      </c>
    </row>
    <row r="21" spans="1:11" ht="41.4" x14ac:dyDescent="0.3">
      <c r="A21" s="36">
        <v>2</v>
      </c>
      <c r="B21" s="27" t="s">
        <v>55</v>
      </c>
      <c r="C21" s="55" t="s">
        <v>9</v>
      </c>
      <c r="D21" s="28">
        <v>1</v>
      </c>
      <c r="E21" s="28"/>
      <c r="F21" s="6">
        <f t="shared" si="0"/>
        <v>0</v>
      </c>
      <c r="G21" s="28">
        <v>200</v>
      </c>
      <c r="H21" s="6">
        <f t="shared" si="1"/>
        <v>200</v>
      </c>
      <c r="I21" s="28"/>
      <c r="J21" s="6">
        <f t="shared" si="2"/>
        <v>0</v>
      </c>
      <c r="K21" s="6">
        <f t="shared" si="3"/>
        <v>200</v>
      </c>
    </row>
    <row r="22" spans="1:11" x14ac:dyDescent="0.3">
      <c r="A22" s="36"/>
      <c r="B22" s="30" t="s">
        <v>11</v>
      </c>
      <c r="C22" s="55" t="s">
        <v>12</v>
      </c>
      <c r="D22" s="28">
        <f>D21*1</f>
        <v>1</v>
      </c>
      <c r="E22" s="28">
        <v>8</v>
      </c>
      <c r="F22" s="6">
        <f t="shared" si="0"/>
        <v>8</v>
      </c>
      <c r="G22" s="28"/>
      <c r="H22" s="6">
        <f t="shared" si="1"/>
        <v>0</v>
      </c>
      <c r="I22" s="28"/>
      <c r="J22" s="6">
        <f t="shared" si="2"/>
        <v>0</v>
      </c>
      <c r="K22" s="6">
        <f t="shared" si="3"/>
        <v>8</v>
      </c>
    </row>
    <row r="23" spans="1:11" ht="24" x14ac:dyDescent="0.3">
      <c r="A23" s="50">
        <v>3</v>
      </c>
      <c r="B23" s="51" t="s">
        <v>70</v>
      </c>
      <c r="C23" s="53" t="s">
        <v>8</v>
      </c>
      <c r="D23" s="49">
        <v>40</v>
      </c>
      <c r="E23" s="49"/>
      <c r="F23" s="6">
        <f t="shared" si="0"/>
        <v>0</v>
      </c>
      <c r="G23" s="49">
        <v>15</v>
      </c>
      <c r="H23" s="6">
        <f t="shared" si="1"/>
        <v>600</v>
      </c>
      <c r="I23" s="49"/>
      <c r="J23" s="6">
        <f t="shared" si="2"/>
        <v>0</v>
      </c>
      <c r="K23" s="6">
        <f t="shared" si="3"/>
        <v>600</v>
      </c>
    </row>
    <row r="24" spans="1:11" x14ac:dyDescent="0.3">
      <c r="A24" s="50"/>
      <c r="B24" s="48" t="s">
        <v>69</v>
      </c>
      <c r="C24" s="53" t="s">
        <v>13</v>
      </c>
      <c r="D24" s="49">
        <f>D23*0.4</f>
        <v>16</v>
      </c>
      <c r="E24" s="49">
        <v>18</v>
      </c>
      <c r="F24" s="6">
        <f t="shared" si="0"/>
        <v>288</v>
      </c>
      <c r="G24" s="49"/>
      <c r="H24" s="6">
        <f t="shared" si="1"/>
        <v>0</v>
      </c>
      <c r="I24" s="49"/>
      <c r="J24" s="6">
        <f t="shared" si="2"/>
        <v>0</v>
      </c>
      <c r="K24" s="6">
        <f t="shared" si="3"/>
        <v>288</v>
      </c>
    </row>
    <row r="25" spans="1:11" x14ac:dyDescent="0.3">
      <c r="A25" s="50"/>
      <c r="B25" s="48" t="s">
        <v>71</v>
      </c>
      <c r="C25" s="53" t="s">
        <v>8</v>
      </c>
      <c r="D25" s="41">
        <f>D23*0.04</f>
        <v>1.6</v>
      </c>
      <c r="E25" s="41">
        <v>22</v>
      </c>
      <c r="F25" s="6">
        <f t="shared" si="0"/>
        <v>35.200000000000003</v>
      </c>
      <c r="G25" s="41"/>
      <c r="H25" s="6">
        <f t="shared" si="1"/>
        <v>0</v>
      </c>
      <c r="I25" s="41">
        <v>0.01</v>
      </c>
      <c r="J25" s="6">
        <f t="shared" si="2"/>
        <v>1.6E-2</v>
      </c>
      <c r="K25" s="6">
        <f t="shared" si="3"/>
        <v>35.216000000000001</v>
      </c>
    </row>
    <row r="26" spans="1:11" x14ac:dyDescent="0.3">
      <c r="A26" s="50"/>
      <c r="B26" s="48" t="s">
        <v>11</v>
      </c>
      <c r="C26" s="55" t="s">
        <v>12</v>
      </c>
      <c r="D26" s="49">
        <f>D23*0.1</f>
        <v>4</v>
      </c>
      <c r="E26" s="49">
        <v>8</v>
      </c>
      <c r="F26" s="6">
        <f t="shared" si="0"/>
        <v>32</v>
      </c>
      <c r="G26" s="49"/>
      <c r="H26" s="6">
        <f t="shared" si="1"/>
        <v>0</v>
      </c>
      <c r="I26" s="49"/>
      <c r="J26" s="6">
        <f t="shared" si="2"/>
        <v>0</v>
      </c>
      <c r="K26" s="6">
        <f t="shared" si="3"/>
        <v>32</v>
      </c>
    </row>
    <row r="27" spans="1:11" ht="27.6" x14ac:dyDescent="0.3">
      <c r="A27" s="35">
        <v>4</v>
      </c>
      <c r="B27" s="17" t="s">
        <v>75</v>
      </c>
      <c r="C27" s="55" t="s">
        <v>9</v>
      </c>
      <c r="D27" s="28">
        <v>8</v>
      </c>
      <c r="E27" s="6"/>
      <c r="F27" s="6">
        <f t="shared" si="0"/>
        <v>0</v>
      </c>
      <c r="G27" s="6">
        <v>70</v>
      </c>
      <c r="H27" s="6">
        <f t="shared" si="1"/>
        <v>560</v>
      </c>
      <c r="I27" s="6"/>
      <c r="J27" s="6">
        <f t="shared" si="2"/>
        <v>0</v>
      </c>
      <c r="K27" s="6">
        <f t="shared" si="3"/>
        <v>560</v>
      </c>
    </row>
    <row r="28" spans="1:11" x14ac:dyDescent="0.3">
      <c r="A28" s="35"/>
      <c r="B28" s="29" t="s">
        <v>51</v>
      </c>
      <c r="C28" s="55" t="s">
        <v>9</v>
      </c>
      <c r="D28" s="28">
        <v>4</v>
      </c>
      <c r="E28" s="6">
        <v>10150</v>
      </c>
      <c r="F28" s="6">
        <f t="shared" si="0"/>
        <v>40600</v>
      </c>
      <c r="G28" s="6"/>
      <c r="H28" s="6">
        <f t="shared" si="1"/>
        <v>0</v>
      </c>
      <c r="I28" s="6">
        <v>1</v>
      </c>
      <c r="J28" s="6">
        <f t="shared" si="2"/>
        <v>4</v>
      </c>
      <c r="K28" s="6">
        <f t="shared" si="3"/>
        <v>40604</v>
      </c>
    </row>
    <row r="29" spans="1:11" x14ac:dyDescent="0.3">
      <c r="A29" s="35"/>
      <c r="B29" s="29" t="s">
        <v>52</v>
      </c>
      <c r="C29" s="55" t="s">
        <v>9</v>
      </c>
      <c r="D29" s="28">
        <v>4</v>
      </c>
      <c r="E29" s="6">
        <v>10000</v>
      </c>
      <c r="F29" s="6">
        <f t="shared" si="0"/>
        <v>40000</v>
      </c>
      <c r="G29" s="6"/>
      <c r="H29" s="6">
        <f t="shared" si="1"/>
        <v>0</v>
      </c>
      <c r="I29" s="6">
        <v>1</v>
      </c>
      <c r="J29" s="6">
        <f t="shared" si="2"/>
        <v>4</v>
      </c>
      <c r="K29" s="6">
        <f t="shared" si="3"/>
        <v>40004</v>
      </c>
    </row>
    <row r="30" spans="1:11" x14ac:dyDescent="0.3">
      <c r="A30" s="35"/>
      <c r="B30" s="29" t="s">
        <v>11</v>
      </c>
      <c r="C30" s="55" t="s">
        <v>12</v>
      </c>
      <c r="D30" s="28">
        <f>20*0.7</f>
        <v>14</v>
      </c>
      <c r="E30" s="6">
        <v>8</v>
      </c>
      <c r="F30" s="6">
        <f t="shared" si="0"/>
        <v>112</v>
      </c>
      <c r="G30" s="6"/>
      <c r="H30" s="6">
        <f t="shared" si="1"/>
        <v>0</v>
      </c>
      <c r="I30" s="6"/>
      <c r="J30" s="6">
        <f t="shared" si="2"/>
        <v>0</v>
      </c>
      <c r="K30" s="6">
        <f t="shared" si="3"/>
        <v>112</v>
      </c>
    </row>
    <row r="31" spans="1:11" ht="27.6" x14ac:dyDescent="0.3">
      <c r="A31" s="36">
        <v>5</v>
      </c>
      <c r="B31" s="32" t="s">
        <v>54</v>
      </c>
      <c r="C31" s="53" t="s">
        <v>10</v>
      </c>
      <c r="D31" s="6">
        <v>84</v>
      </c>
      <c r="E31" s="6"/>
      <c r="F31" s="6">
        <f t="shared" si="0"/>
        <v>0</v>
      </c>
      <c r="G31" s="6">
        <v>5</v>
      </c>
      <c r="H31" s="6">
        <f t="shared" si="1"/>
        <v>420</v>
      </c>
      <c r="I31" s="6"/>
      <c r="J31" s="6">
        <f t="shared" si="2"/>
        <v>0</v>
      </c>
      <c r="K31" s="6">
        <f t="shared" si="3"/>
        <v>420</v>
      </c>
    </row>
    <row r="32" spans="1:11" x14ac:dyDescent="0.3">
      <c r="A32" s="36"/>
      <c r="B32" s="21" t="s">
        <v>53</v>
      </c>
      <c r="C32" s="53" t="s">
        <v>10</v>
      </c>
      <c r="D32" s="31">
        <f>D31*1.1</f>
        <v>92.4</v>
      </c>
      <c r="E32" s="6">
        <v>7</v>
      </c>
      <c r="F32" s="6">
        <f t="shared" si="0"/>
        <v>646.80000000000007</v>
      </c>
      <c r="G32" s="6"/>
      <c r="H32" s="6">
        <f t="shared" si="1"/>
        <v>0</v>
      </c>
      <c r="I32" s="6">
        <v>0.5</v>
      </c>
      <c r="J32" s="6">
        <f t="shared" si="2"/>
        <v>46.2</v>
      </c>
      <c r="K32" s="6">
        <f t="shared" si="3"/>
        <v>693.00000000000011</v>
      </c>
    </row>
    <row r="33" spans="1:11" x14ac:dyDescent="0.3">
      <c r="A33" s="36"/>
      <c r="B33" s="5" t="s">
        <v>38</v>
      </c>
      <c r="C33" s="53" t="s">
        <v>27</v>
      </c>
      <c r="D33" s="31">
        <v>12</v>
      </c>
      <c r="E33" s="6">
        <v>20</v>
      </c>
      <c r="F33" s="6">
        <f t="shared" si="0"/>
        <v>240</v>
      </c>
      <c r="G33" s="6"/>
      <c r="H33" s="6">
        <f t="shared" si="1"/>
        <v>0</v>
      </c>
      <c r="I33" s="6">
        <v>0.5</v>
      </c>
      <c r="J33" s="6">
        <f t="shared" si="2"/>
        <v>6</v>
      </c>
      <c r="K33" s="6">
        <f t="shared" si="3"/>
        <v>246</v>
      </c>
    </row>
    <row r="34" spans="1:11" ht="27.6" x14ac:dyDescent="0.3">
      <c r="A34" s="35">
        <v>6</v>
      </c>
      <c r="B34" s="37" t="s">
        <v>31</v>
      </c>
      <c r="C34" s="55" t="s">
        <v>10</v>
      </c>
      <c r="D34" s="28">
        <v>205</v>
      </c>
      <c r="E34" s="6"/>
      <c r="F34" s="6">
        <f t="shared" si="0"/>
        <v>0</v>
      </c>
      <c r="G34" s="6">
        <v>7</v>
      </c>
      <c r="H34" s="6">
        <f t="shared" si="1"/>
        <v>1435</v>
      </c>
      <c r="I34" s="6"/>
      <c r="J34" s="6">
        <f t="shared" si="2"/>
        <v>0</v>
      </c>
      <c r="K34" s="6">
        <f t="shared" si="3"/>
        <v>1435</v>
      </c>
    </row>
    <row r="35" spans="1:11" x14ac:dyDescent="0.3">
      <c r="A35" s="35"/>
      <c r="B35" s="5" t="s">
        <v>32</v>
      </c>
      <c r="C35" s="53" t="s">
        <v>10</v>
      </c>
      <c r="D35" s="6">
        <f>1.03*D34</f>
        <v>211.15</v>
      </c>
      <c r="E35" s="6">
        <v>11</v>
      </c>
      <c r="F35" s="6">
        <f t="shared" si="0"/>
        <v>2322.65</v>
      </c>
      <c r="G35" s="6"/>
      <c r="H35" s="6">
        <f t="shared" si="1"/>
        <v>0</v>
      </c>
      <c r="I35" s="6">
        <v>0.2</v>
      </c>
      <c r="J35" s="6">
        <f t="shared" si="2"/>
        <v>42.230000000000004</v>
      </c>
      <c r="K35" s="6">
        <f t="shared" si="3"/>
        <v>2364.88</v>
      </c>
    </row>
    <row r="36" spans="1:11" x14ac:dyDescent="0.3">
      <c r="A36" s="35"/>
      <c r="B36" s="5" t="s">
        <v>34</v>
      </c>
      <c r="C36" s="53" t="s">
        <v>27</v>
      </c>
      <c r="D36" s="6">
        <f>D34*4</f>
        <v>820</v>
      </c>
      <c r="E36" s="6">
        <v>0.04</v>
      </c>
      <c r="F36" s="6">
        <f t="shared" si="0"/>
        <v>32.799999999999997</v>
      </c>
      <c r="G36" s="6"/>
      <c r="H36" s="6">
        <f t="shared" si="1"/>
        <v>0</v>
      </c>
      <c r="I36" s="6">
        <v>0.01</v>
      </c>
      <c r="J36" s="6">
        <f t="shared" si="2"/>
        <v>8.1999999999999993</v>
      </c>
      <c r="K36" s="6">
        <f t="shared" si="3"/>
        <v>41</v>
      </c>
    </row>
    <row r="37" spans="1:11" x14ac:dyDescent="0.3">
      <c r="A37" s="35"/>
      <c r="B37" s="5" t="s">
        <v>33</v>
      </c>
      <c r="C37" s="53" t="s">
        <v>27</v>
      </c>
      <c r="D37" s="6">
        <v>15</v>
      </c>
      <c r="E37" s="6">
        <v>14</v>
      </c>
      <c r="F37" s="6">
        <f t="shared" si="0"/>
        <v>210</v>
      </c>
      <c r="G37" s="6"/>
      <c r="H37" s="6">
        <f t="shared" si="1"/>
        <v>0</v>
      </c>
      <c r="I37" s="6">
        <v>0.1</v>
      </c>
      <c r="J37" s="6">
        <f t="shared" si="2"/>
        <v>1.5</v>
      </c>
      <c r="K37" s="6">
        <f t="shared" si="3"/>
        <v>211.5</v>
      </c>
    </row>
    <row r="38" spans="1:11" ht="21" customHeight="1" x14ac:dyDescent="0.3">
      <c r="A38" s="35"/>
      <c r="B38" s="5" t="s">
        <v>11</v>
      </c>
      <c r="C38" s="53" t="s">
        <v>12</v>
      </c>
      <c r="D38" s="6">
        <f>D34*0.03</f>
        <v>6.1499999999999995</v>
      </c>
      <c r="E38" s="6">
        <v>8</v>
      </c>
      <c r="F38" s="6">
        <f t="shared" si="0"/>
        <v>49.199999999999996</v>
      </c>
      <c r="G38" s="6"/>
      <c r="H38" s="6">
        <f t="shared" si="1"/>
        <v>0</v>
      </c>
      <c r="I38" s="6"/>
      <c r="J38" s="6">
        <f t="shared" si="2"/>
        <v>0</v>
      </c>
      <c r="K38" s="6">
        <f t="shared" si="3"/>
        <v>49.199999999999996</v>
      </c>
    </row>
    <row r="39" spans="1:11" x14ac:dyDescent="0.3">
      <c r="A39" s="35">
        <v>7</v>
      </c>
      <c r="B39" s="27" t="s">
        <v>56</v>
      </c>
      <c r="C39" s="55" t="s">
        <v>9</v>
      </c>
      <c r="D39" s="28">
        <v>1</v>
      </c>
      <c r="E39" s="28">
        <v>80</v>
      </c>
      <c r="F39" s="6">
        <f t="shared" si="0"/>
        <v>80</v>
      </c>
      <c r="G39" s="28">
        <v>10</v>
      </c>
      <c r="H39" s="6">
        <f t="shared" si="1"/>
        <v>10</v>
      </c>
      <c r="I39" s="28">
        <v>5</v>
      </c>
      <c r="J39" s="6">
        <f t="shared" si="2"/>
        <v>5</v>
      </c>
      <c r="K39" s="6">
        <f t="shared" si="3"/>
        <v>95</v>
      </c>
    </row>
    <row r="40" spans="1:11" x14ac:dyDescent="0.3">
      <c r="A40" s="35">
        <v>8</v>
      </c>
      <c r="B40" s="9" t="s">
        <v>24</v>
      </c>
      <c r="C40" s="53" t="s">
        <v>74</v>
      </c>
      <c r="D40" s="6">
        <v>2</v>
      </c>
      <c r="E40" s="6"/>
      <c r="F40" s="6">
        <f t="shared" si="0"/>
        <v>0</v>
      </c>
      <c r="G40" s="6">
        <v>55</v>
      </c>
      <c r="H40" s="6">
        <f t="shared" si="1"/>
        <v>110</v>
      </c>
      <c r="I40" s="6">
        <v>25</v>
      </c>
      <c r="J40" s="6">
        <f t="shared" si="2"/>
        <v>50</v>
      </c>
      <c r="K40" s="6">
        <f t="shared" si="3"/>
        <v>160</v>
      </c>
    </row>
    <row r="41" spans="1:11" x14ac:dyDescent="0.3">
      <c r="A41" s="35">
        <v>9</v>
      </c>
      <c r="B41" s="9" t="s">
        <v>25</v>
      </c>
      <c r="C41" s="53" t="s">
        <v>23</v>
      </c>
      <c r="D41" s="6">
        <v>1</v>
      </c>
      <c r="E41" s="6"/>
      <c r="F41" s="6">
        <f t="shared" si="0"/>
        <v>0</v>
      </c>
      <c r="G41" s="6">
        <v>25</v>
      </c>
      <c r="H41" s="6">
        <f t="shared" si="1"/>
        <v>25</v>
      </c>
      <c r="I41" s="6">
        <v>20</v>
      </c>
      <c r="J41" s="6">
        <f t="shared" si="2"/>
        <v>20</v>
      </c>
      <c r="K41" s="6">
        <f t="shared" si="3"/>
        <v>45</v>
      </c>
    </row>
    <row r="42" spans="1:11" x14ac:dyDescent="0.3">
      <c r="A42" s="22"/>
      <c r="B42" s="7" t="s">
        <v>6</v>
      </c>
      <c r="C42" s="53"/>
      <c r="D42" s="6"/>
      <c r="E42" s="6"/>
      <c r="F42" s="6">
        <f>SUM(F9:F41)</f>
        <v>87142.3</v>
      </c>
      <c r="G42" s="6"/>
      <c r="H42" s="6">
        <f>SUM(H9:H41)</f>
        <v>9820</v>
      </c>
      <c r="I42" s="6"/>
      <c r="J42" s="6">
        <f>SUM(J9:J41)</f>
        <v>238.76499999999999</v>
      </c>
      <c r="K42" s="6">
        <f>SUM(K9:K41)</f>
        <v>97201.065000000002</v>
      </c>
    </row>
    <row r="43" spans="1:11" x14ac:dyDescent="0.3">
      <c r="A43" s="8"/>
      <c r="B43" s="13" t="s">
        <v>14</v>
      </c>
      <c r="C43" s="59">
        <v>0.05</v>
      </c>
      <c r="D43" s="16"/>
      <c r="E43" s="15"/>
      <c r="F43" s="16"/>
      <c r="G43" s="16"/>
      <c r="H43" s="16"/>
      <c r="I43" s="16"/>
      <c r="J43" s="15"/>
      <c r="K43" s="16">
        <f>K42*C43</f>
        <v>4860.0532499999999</v>
      </c>
    </row>
    <row r="44" spans="1:11" x14ac:dyDescent="0.3">
      <c r="A44" s="8"/>
      <c r="B44" s="18" t="s">
        <v>6</v>
      </c>
      <c r="C44" s="52"/>
      <c r="D44" s="16"/>
      <c r="E44" s="15"/>
      <c r="F44" s="15"/>
      <c r="G44" s="16"/>
      <c r="H44" s="16"/>
      <c r="I44" s="16"/>
      <c r="J44" s="15"/>
      <c r="K44" s="16">
        <f>K43+K42</f>
        <v>102061.11825</v>
      </c>
    </row>
    <row r="45" spans="1:11" x14ac:dyDescent="0.3">
      <c r="A45" s="8"/>
      <c r="B45" s="13" t="s">
        <v>15</v>
      </c>
      <c r="C45" s="59">
        <v>0.1</v>
      </c>
      <c r="D45" s="16"/>
      <c r="E45" s="15"/>
      <c r="F45" s="15"/>
      <c r="G45" s="16"/>
      <c r="H45" s="16"/>
      <c r="I45" s="16"/>
      <c r="J45" s="15"/>
      <c r="K45" s="16">
        <f>K44*C45</f>
        <v>10206.111825</v>
      </c>
    </row>
    <row r="46" spans="1:11" x14ac:dyDescent="0.3">
      <c r="A46" s="8"/>
      <c r="B46" s="18" t="s">
        <v>6</v>
      </c>
      <c r="C46" s="52"/>
      <c r="D46" s="16"/>
      <c r="E46" s="15"/>
      <c r="F46" s="15"/>
      <c r="G46" s="16"/>
      <c r="H46" s="16"/>
      <c r="I46" s="16"/>
      <c r="J46" s="15"/>
      <c r="K46" s="16">
        <f>SUM(K44:K45)</f>
        <v>112267.230075</v>
      </c>
    </row>
    <row r="47" spans="1:11" x14ac:dyDescent="0.3">
      <c r="A47" s="8"/>
      <c r="B47" s="13" t="s">
        <v>16</v>
      </c>
      <c r="C47" s="59">
        <v>0.08</v>
      </c>
      <c r="D47" s="16"/>
      <c r="E47" s="15"/>
      <c r="F47" s="15"/>
      <c r="G47" s="16"/>
      <c r="H47" s="16"/>
      <c r="I47" s="16"/>
      <c r="J47" s="15"/>
      <c r="K47" s="16">
        <f>K46*C47</f>
        <v>8981.3784059999998</v>
      </c>
    </row>
    <row r="48" spans="1:11" x14ac:dyDescent="0.3">
      <c r="A48" s="14"/>
      <c r="B48" s="18" t="s">
        <v>6</v>
      </c>
      <c r="C48" s="52"/>
      <c r="D48" s="16"/>
      <c r="E48" s="15"/>
      <c r="F48" s="15"/>
      <c r="G48" s="16"/>
      <c r="H48" s="16"/>
      <c r="I48" s="16"/>
      <c r="J48" s="15"/>
      <c r="K48" s="16">
        <f>SUM(K46:K47)</f>
        <v>121248.608481</v>
      </c>
    </row>
    <row r="49" spans="1:11" x14ac:dyDescent="0.3">
      <c r="A49" s="14"/>
      <c r="B49" s="13" t="s">
        <v>19</v>
      </c>
      <c r="C49" s="59">
        <v>0.03</v>
      </c>
      <c r="D49" s="16"/>
      <c r="E49" s="15"/>
      <c r="F49" s="15"/>
      <c r="G49" s="16"/>
      <c r="H49" s="16"/>
      <c r="I49" s="16"/>
      <c r="J49" s="15"/>
      <c r="K49" s="16">
        <f>K48*C49</f>
        <v>3637.4582544300001</v>
      </c>
    </row>
    <row r="50" spans="1:11" x14ac:dyDescent="0.3">
      <c r="A50" s="14"/>
      <c r="B50" s="13" t="s">
        <v>28</v>
      </c>
      <c r="C50" s="59">
        <v>0.02</v>
      </c>
      <c r="D50" s="16"/>
      <c r="E50" s="15"/>
      <c r="F50" s="15"/>
      <c r="G50" s="16"/>
      <c r="H50" s="16"/>
      <c r="I50" s="16"/>
      <c r="J50" s="15"/>
      <c r="K50" s="16">
        <f>H42*C50</f>
        <v>196.4</v>
      </c>
    </row>
    <row r="51" spans="1:11" x14ac:dyDescent="0.3">
      <c r="A51" s="14"/>
      <c r="B51" s="18" t="s">
        <v>6</v>
      </c>
      <c r="C51" s="52"/>
      <c r="D51" s="16"/>
      <c r="E51" s="15"/>
      <c r="F51" s="15"/>
      <c r="G51" s="16"/>
      <c r="H51" s="16"/>
      <c r="I51" s="16"/>
      <c r="J51" s="15"/>
      <c r="K51" s="16">
        <f>K50+K49+K48</f>
        <v>125082.46673543</v>
      </c>
    </row>
    <row r="52" spans="1:11" x14ac:dyDescent="0.3">
      <c r="A52" s="8"/>
      <c r="B52" s="8" t="s">
        <v>17</v>
      </c>
      <c r="C52" s="59">
        <v>0.18</v>
      </c>
      <c r="D52" s="16"/>
      <c r="E52" s="15"/>
      <c r="F52" s="15"/>
      <c r="G52" s="15"/>
      <c r="H52" s="15"/>
      <c r="I52" s="15"/>
      <c r="J52" s="15"/>
      <c r="K52" s="16">
        <f>K51*C52</f>
        <v>22514.844012377398</v>
      </c>
    </row>
    <row r="53" spans="1:11" x14ac:dyDescent="0.3">
      <c r="A53" s="7"/>
      <c r="B53" s="11" t="s">
        <v>18</v>
      </c>
      <c r="C53" s="4"/>
      <c r="D53" s="7"/>
      <c r="E53" s="7"/>
      <c r="F53" s="7"/>
      <c r="G53" s="7"/>
      <c r="H53" s="7"/>
      <c r="I53" s="7"/>
      <c r="J53" s="7"/>
      <c r="K53" s="25">
        <f>K52+K51</f>
        <v>147597.31074780741</v>
      </c>
    </row>
  </sheetData>
  <mergeCells count="13">
    <mergeCell ref="I5:J5"/>
    <mergeCell ref="K5:K6"/>
    <mergeCell ref="A5:A6"/>
    <mergeCell ref="B5:B6"/>
    <mergeCell ref="C5:C6"/>
    <mergeCell ref="D5:D6"/>
    <mergeCell ref="E5:F5"/>
    <mergeCell ref="G5:H5"/>
    <mergeCell ref="B2:K2"/>
    <mergeCell ref="A3:K3"/>
    <mergeCell ref="E4:H4"/>
    <mergeCell ref="I4:K4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საერთო ჯამი</vt:lpstr>
      <vt:lpstr>WSC</vt:lpstr>
      <vt:lpstr>II სართული</vt:lpstr>
      <vt:lpstr>III სართული</vt:lpstr>
      <vt:lpstr>IV სართული</vt:lpstr>
      <vt:lpstr>V სართული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2024-05-24T12:44:07Z</dcterms:modified>
</cp:coreProperties>
</file>