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Elene\Downloads\"/>
    </mc:Choice>
  </mc:AlternateContent>
  <xr:revisionPtr revIDLastSave="0" documentId="13_ncr:1_{14313D12-A7B8-4D6C-B65A-D0C86365219F}" xr6:coauthVersionLast="47" xr6:coauthVersionMax="47" xr10:uidLastSave="{00000000-0000-0000-0000-000000000000}"/>
  <bookViews>
    <workbookView xWindow="-108" yWindow="-108" windowWidth="23256" windowHeight="12456" tabRatio="741" xr2:uid="{00000000-000D-0000-FFFF-FFFF00000000}"/>
  </bookViews>
  <sheets>
    <sheet name="ჯამური" sheetId="4" r:id="rId1"/>
    <sheet name="მოსამზ." sheetId="10" r:id="rId2"/>
    <sheet name="კონსტრუქცია" sheetId="7" r:id="rId3"/>
    <sheet name="არქიტექტურა" sheetId="8" r:id="rId4"/>
    <sheet name="გარე ტერიტორია" sheetId="9" r:id="rId5"/>
  </sheets>
  <definedNames>
    <definedName name="_xlnm._FilterDatabase" localSheetId="3" hidden="1">არქიტექტურა!$A$2:$K$156</definedName>
    <definedName name="_xlnm._FilterDatabase" localSheetId="4" hidden="1">'გარე ტერიტორია'!$A$2:$K$138</definedName>
    <definedName name="_xlnm._FilterDatabase" localSheetId="2" hidden="1">კონსტრუქცია!$A$8:$K$161</definedName>
    <definedName name="_xlnm.Print_Area" localSheetId="3">არქიტექტურა!$A$1:$K$148</definedName>
    <definedName name="_xlnm.Print_Area" localSheetId="4">'გარე ტერიტორია'!$A$1:$K$93</definedName>
    <definedName name="_xlnm.Print_Area" localSheetId="2">კონსტრუქცია!$A$1:$K$162</definedName>
    <definedName name="_xlnm.Print_Area" localSheetId="1">მოსამზ.!$A$2:$K$28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0" l="1"/>
  <c r="K14" i="10"/>
  <c r="K15" i="10"/>
  <c r="K16" i="10"/>
  <c r="K17" i="10"/>
  <c r="J13" i="10"/>
  <c r="J14" i="10"/>
  <c r="J15" i="10"/>
  <c r="J16" i="10"/>
  <c r="J17" i="10"/>
  <c r="H13" i="10"/>
  <c r="H14" i="10"/>
  <c r="H15" i="10"/>
  <c r="H16" i="10"/>
  <c r="H17" i="10"/>
  <c r="F13" i="10"/>
  <c r="F14" i="10"/>
  <c r="F15" i="10"/>
  <c r="F16" i="10"/>
  <c r="F17" i="10"/>
  <c r="A2" i="9"/>
  <c r="A2" i="8"/>
  <c r="A2" i="7"/>
  <c r="A2" i="10"/>
  <c r="K7" i="9"/>
  <c r="K7" i="8"/>
  <c r="K7" i="7"/>
  <c r="K7" i="10"/>
  <c r="D81" i="7"/>
  <c r="D11" i="9" l="1"/>
  <c r="D72" i="9"/>
  <c r="D67" i="9"/>
  <c r="D62" i="9"/>
  <c r="D77" i="9"/>
  <c r="D101" i="8"/>
  <c r="D110" i="8"/>
  <c r="K127" i="8"/>
  <c r="F131" i="8"/>
  <c r="D130" i="8"/>
  <c r="J130" i="8" s="1"/>
  <c r="D129" i="8"/>
  <c r="J131" i="8"/>
  <c r="H131" i="8"/>
  <c r="D128" i="8"/>
  <c r="J128" i="8" s="1"/>
  <c r="D126" i="8"/>
  <c r="F126" i="8" s="1"/>
  <c r="A132" i="8"/>
  <c r="D137" i="7"/>
  <c r="J137" i="7" s="1"/>
  <c r="D136" i="7"/>
  <c r="J136" i="7" s="1"/>
  <c r="D135" i="7"/>
  <c r="D134" i="7"/>
  <c r="D146" i="7"/>
  <c r="D145" i="7"/>
  <c r="D126" i="7"/>
  <c r="H126" i="7" s="1"/>
  <c r="D125" i="7"/>
  <c r="H125" i="7" s="1"/>
  <c r="D124" i="7"/>
  <c r="D123" i="7"/>
  <c r="H123" i="7" s="1"/>
  <c r="D122" i="7"/>
  <c r="J122" i="7" s="1"/>
  <c r="D121" i="7"/>
  <c r="H121" i="7" s="1"/>
  <c r="D127" i="7"/>
  <c r="F127" i="7" s="1"/>
  <c r="D114" i="7"/>
  <c r="D113" i="7"/>
  <c r="D112" i="7"/>
  <c r="D111" i="7"/>
  <c r="D103" i="7"/>
  <c r="D102" i="7"/>
  <c r="D71" i="7"/>
  <c r="D66" i="7"/>
  <c r="D62" i="7"/>
  <c r="D61" i="7"/>
  <c r="D92" i="7"/>
  <c r="D91" i="7"/>
  <c r="D82" i="7"/>
  <c r="D47" i="7"/>
  <c r="D46" i="7"/>
  <c r="D45" i="7"/>
  <c r="D39" i="7"/>
  <c r="D38" i="7"/>
  <c r="D37" i="7"/>
  <c r="D152" i="7"/>
  <c r="D16" i="7"/>
  <c r="D11" i="7"/>
  <c r="D130" i="7" l="1"/>
  <c r="F136" i="7"/>
  <c r="K131" i="8"/>
  <c r="F129" i="8"/>
  <c r="K129" i="8" s="1"/>
  <c r="F130" i="8"/>
  <c r="H130" i="8"/>
  <c r="H126" i="8"/>
  <c r="J126" i="8"/>
  <c r="F128" i="8"/>
  <c r="H128" i="8"/>
  <c r="F137" i="7"/>
  <c r="H137" i="7"/>
  <c r="F135" i="7"/>
  <c r="H136" i="7"/>
  <c r="K136" i="7" s="1"/>
  <c r="J135" i="7"/>
  <c r="H135" i="7"/>
  <c r="J134" i="7"/>
  <c r="J121" i="7"/>
  <c r="H134" i="7"/>
  <c r="J125" i="7"/>
  <c r="J126" i="7"/>
  <c r="J123" i="7"/>
  <c r="D117" i="7"/>
  <c r="D119" i="7" s="1"/>
  <c r="H122" i="7"/>
  <c r="F125" i="7"/>
  <c r="J127" i="7"/>
  <c r="H127" i="7"/>
  <c r="J124" i="7"/>
  <c r="H124" i="7"/>
  <c r="K128" i="8" l="1"/>
  <c r="K130" i="8"/>
  <c r="K137" i="7"/>
  <c r="K125" i="7"/>
  <c r="K126" i="8"/>
  <c r="F134" i="7"/>
  <c r="K134" i="7" s="1"/>
  <c r="K135" i="7"/>
  <c r="K127" i="7"/>
  <c r="F122" i="7"/>
  <c r="K122" i="7" s="1"/>
  <c r="F121" i="7"/>
  <c r="K121" i="7" s="1"/>
  <c r="D118" i="7"/>
  <c r="F118" i="7" s="1"/>
  <c r="D128" i="7"/>
  <c r="H128" i="7" s="1"/>
  <c r="D129" i="7"/>
  <c r="H129" i="7" s="1"/>
  <c r="F119" i="7"/>
  <c r="H119" i="7"/>
  <c r="J119" i="7"/>
  <c r="J118" i="7" l="1"/>
  <c r="K119" i="7"/>
  <c r="H118" i="7"/>
  <c r="K118" i="7" s="1"/>
  <c r="F129" i="7"/>
  <c r="J129" i="7"/>
  <c r="J128" i="7"/>
  <c r="K129" i="7" l="1"/>
  <c r="D27" i="9"/>
  <c r="D22" i="9"/>
  <c r="C96" i="8"/>
  <c r="C93" i="8"/>
  <c r="D44" i="8"/>
  <c r="D35" i="8"/>
  <c r="D21" i="7"/>
  <c r="D54" i="8" l="1"/>
  <c r="A60" i="8"/>
  <c r="A66" i="8" s="1"/>
  <c r="D32" i="8"/>
  <c r="J32" i="8" s="1"/>
  <c r="D18" i="8"/>
  <c r="D46" i="8"/>
  <c r="D45" i="8"/>
  <c r="D16" i="9"/>
  <c r="D31" i="8"/>
  <c r="J31" i="8" s="1"/>
  <c r="D30" i="8"/>
  <c r="J30" i="8" s="1"/>
  <c r="J28" i="8"/>
  <c r="H28" i="8"/>
  <c r="F28" i="8"/>
  <c r="D11" i="8"/>
  <c r="D139" i="8"/>
  <c r="D138" i="7"/>
  <c r="F128" i="7" l="1"/>
  <c r="K128" i="7" s="1"/>
  <c r="D83" i="9"/>
  <c r="D81" i="9"/>
  <c r="K28" i="8"/>
  <c r="H30" i="8"/>
  <c r="F123" i="7"/>
  <c r="K123" i="7" s="1"/>
  <c r="F25" i="8"/>
  <c r="H25" i="8"/>
  <c r="J25" i="8"/>
  <c r="D33" i="8"/>
  <c r="D26" i="8"/>
  <c r="D27" i="8"/>
  <c r="F27" i="8" s="1"/>
  <c r="D29" i="8"/>
  <c r="D34" i="8"/>
  <c r="H34" i="8" s="1"/>
  <c r="H32" i="8"/>
  <c r="H31" i="8"/>
  <c r="F124" i="7" l="1"/>
  <c r="K124" i="7" s="1"/>
  <c r="J34" i="8"/>
  <c r="F34" i="8"/>
  <c r="H29" i="8"/>
  <c r="J29" i="8"/>
  <c r="H27" i="8"/>
  <c r="J27" i="8"/>
  <c r="J26" i="8"/>
  <c r="H26" i="8"/>
  <c r="F26" i="8"/>
  <c r="H33" i="8"/>
  <c r="J33" i="8"/>
  <c r="F33" i="8"/>
  <c r="K25" i="8"/>
  <c r="K27" i="8" l="1"/>
  <c r="K33" i="8"/>
  <c r="K26" i="8"/>
  <c r="K34" i="8"/>
  <c r="D23" i="7" l="1"/>
  <c r="F23" i="7" s="1"/>
  <c r="F29" i="8"/>
  <c r="K29" i="8" s="1"/>
  <c r="F30" i="8" l="1"/>
  <c r="K30" i="8" s="1"/>
  <c r="D22" i="7"/>
  <c r="J22" i="7" s="1"/>
  <c r="H23" i="7"/>
  <c r="J23" i="7"/>
  <c r="D25" i="7"/>
  <c r="F31" i="8" l="1"/>
  <c r="K31" i="8" s="1"/>
  <c r="K23" i="7"/>
  <c r="F22" i="7"/>
  <c r="H22" i="7"/>
  <c r="J25" i="7"/>
  <c r="H25" i="7"/>
  <c r="F25" i="7"/>
  <c r="K22" i="7" l="1"/>
  <c r="K25" i="7"/>
  <c r="J81" i="9"/>
  <c r="F81" i="9" l="1"/>
  <c r="H81" i="9"/>
  <c r="K81" i="9" l="1"/>
  <c r="D48" i="9" l="1"/>
  <c r="D52" i="9" s="1"/>
  <c r="D41" i="9"/>
  <c r="D32" i="9"/>
  <c r="D34" i="9" s="1"/>
  <c r="D137" i="8"/>
  <c r="D47" i="8"/>
  <c r="D41" i="8" s="1"/>
  <c r="D43" i="9" l="1"/>
  <c r="D45" i="9" s="1"/>
  <c r="D133" i="8"/>
  <c r="D134" i="8"/>
  <c r="D136" i="8"/>
  <c r="D109" i="8"/>
  <c r="F109" i="8" s="1"/>
  <c r="K109" i="8" s="1"/>
  <c r="C102" i="8"/>
  <c r="D102" i="8" l="1"/>
  <c r="D103" i="8"/>
  <c r="D105" i="8"/>
  <c r="D106" i="8"/>
  <c r="F106" i="8" s="1"/>
  <c r="K106" i="8" s="1"/>
  <c r="D107" i="8"/>
  <c r="F107" i="8" s="1"/>
  <c r="K107" i="8" s="1"/>
  <c r="D108" i="8"/>
  <c r="F108" i="8" s="1"/>
  <c r="K108" i="8" s="1"/>
  <c r="F47" i="8" l="1"/>
  <c r="J46" i="8"/>
  <c r="D24" i="8"/>
  <c r="D15" i="8" l="1"/>
  <c r="D16" i="8"/>
  <c r="H47" i="8"/>
  <c r="J47" i="8"/>
  <c r="F45" i="8"/>
  <c r="J45" i="8"/>
  <c r="H45" i="8"/>
  <c r="F46" i="8"/>
  <c r="H46" i="8"/>
  <c r="D19" i="8"/>
  <c r="D20" i="8"/>
  <c r="D22" i="8"/>
  <c r="D23" i="8"/>
  <c r="D37" i="8" l="1"/>
  <c r="D40" i="8"/>
  <c r="K47" i="8"/>
  <c r="K46" i="8"/>
  <c r="K45" i="8"/>
  <c r="D132" i="7" l="1"/>
  <c r="D139" i="7"/>
  <c r="J138" i="7" l="1"/>
  <c r="H138" i="7"/>
  <c r="F138" i="7"/>
  <c r="J131" i="7"/>
  <c r="H131" i="7"/>
  <c r="F131" i="7"/>
  <c r="J139" i="7"/>
  <c r="H139" i="7"/>
  <c r="F139" i="7"/>
  <c r="H132" i="7"/>
  <c r="F132" i="7"/>
  <c r="J132" i="7"/>
  <c r="K132" i="7" l="1"/>
  <c r="K139" i="7"/>
  <c r="K131" i="7"/>
  <c r="K138" i="7"/>
  <c r="H114" i="7" l="1"/>
  <c r="F126" i="7"/>
  <c r="K126" i="7" s="1"/>
  <c r="F32" i="8" l="1"/>
  <c r="K32" i="8" s="1"/>
  <c r="J114" i="7"/>
  <c r="D107" i="7"/>
  <c r="F114" i="7"/>
  <c r="D43" i="7"/>
  <c r="D48" i="7"/>
  <c r="F47" i="7"/>
  <c r="K47" i="7" s="1"/>
  <c r="F45" i="7"/>
  <c r="K45" i="7" s="1"/>
  <c r="F46" i="7"/>
  <c r="K46" i="7" s="1"/>
  <c r="K114" i="7" l="1"/>
  <c r="F48" i="7"/>
  <c r="K48" i="7" s="1"/>
  <c r="D49" i="7"/>
  <c r="F49" i="7" s="1"/>
  <c r="K49" i="7" s="1"/>
  <c r="D44" i="7"/>
  <c r="H44" i="7" s="1"/>
  <c r="K44" i="7" s="1"/>
  <c r="J146" i="7" l="1"/>
  <c r="D149" i="7"/>
  <c r="J149" i="7" s="1"/>
  <c r="D148" i="7"/>
  <c r="J148" i="7" s="1"/>
  <c r="D144" i="7"/>
  <c r="J144" i="7" s="1"/>
  <c r="D142" i="7"/>
  <c r="H142" i="7" s="1"/>
  <c r="D141" i="7"/>
  <c r="J141" i="7" s="1"/>
  <c r="D72" i="7"/>
  <c r="J102" i="7"/>
  <c r="H92" i="7"/>
  <c r="J91" i="7"/>
  <c r="D96" i="7"/>
  <c r="J96" i="7" s="1"/>
  <c r="D95" i="7"/>
  <c r="J95" i="7" s="1"/>
  <c r="D94" i="7"/>
  <c r="J94" i="7" s="1"/>
  <c r="D93" i="7"/>
  <c r="J93" i="7" s="1"/>
  <c r="D90" i="7"/>
  <c r="J90" i="7" s="1"/>
  <c r="D88" i="7"/>
  <c r="F88" i="7" s="1"/>
  <c r="D87" i="7"/>
  <c r="J87" i="7" s="1"/>
  <c r="D106" i="7"/>
  <c r="J106" i="7" s="1"/>
  <c r="D105" i="7"/>
  <c r="J105" i="7" s="1"/>
  <c r="D101" i="7"/>
  <c r="F101" i="7" s="1"/>
  <c r="D99" i="7"/>
  <c r="J99" i="7" s="1"/>
  <c r="D98" i="7"/>
  <c r="J98" i="7" s="1"/>
  <c r="D147" i="7" l="1"/>
  <c r="J147" i="7" s="1"/>
  <c r="J145" i="7"/>
  <c r="J142" i="7"/>
  <c r="H144" i="7"/>
  <c r="F144" i="7"/>
  <c r="F148" i="7"/>
  <c r="F145" i="7"/>
  <c r="H148" i="7"/>
  <c r="F141" i="7"/>
  <c r="H145" i="7"/>
  <c r="H141" i="7"/>
  <c r="F149" i="7"/>
  <c r="F146" i="7"/>
  <c r="H149" i="7"/>
  <c r="F142" i="7"/>
  <c r="H146" i="7"/>
  <c r="D40" i="7"/>
  <c r="D104" i="7"/>
  <c r="J104" i="7" s="1"/>
  <c r="J103" i="7"/>
  <c r="D63" i="7"/>
  <c r="D73" i="7"/>
  <c r="H88" i="7"/>
  <c r="J92" i="7"/>
  <c r="J88" i="7"/>
  <c r="F96" i="7"/>
  <c r="F93" i="7"/>
  <c r="H96" i="7"/>
  <c r="F90" i="7"/>
  <c r="H93" i="7"/>
  <c r="H90" i="7"/>
  <c r="F94" i="7"/>
  <c r="F91" i="7"/>
  <c r="H94" i="7"/>
  <c r="F87" i="7"/>
  <c r="H91" i="7"/>
  <c r="H87" i="7"/>
  <c r="F95" i="7"/>
  <c r="F92" i="7"/>
  <c r="H95" i="7"/>
  <c r="H101" i="7"/>
  <c r="J101" i="7"/>
  <c r="F106" i="7"/>
  <c r="H106" i="7"/>
  <c r="F102" i="7"/>
  <c r="F98" i="7"/>
  <c r="H102" i="7"/>
  <c r="H98" i="7"/>
  <c r="F103" i="7"/>
  <c r="F99" i="7"/>
  <c r="H103" i="7"/>
  <c r="H99" i="7"/>
  <c r="F105" i="7"/>
  <c r="H105" i="7"/>
  <c r="D56" i="7"/>
  <c r="A26" i="7"/>
  <c r="K135" i="8"/>
  <c r="K148" i="7" l="1"/>
  <c r="K105" i="7"/>
  <c r="H147" i="7"/>
  <c r="F147" i="7"/>
  <c r="K90" i="7"/>
  <c r="K149" i="7"/>
  <c r="K93" i="7"/>
  <c r="K106" i="7"/>
  <c r="K144" i="7"/>
  <c r="K146" i="7"/>
  <c r="K145" i="7"/>
  <c r="K141" i="7"/>
  <c r="K142" i="7"/>
  <c r="K92" i="7"/>
  <c r="K88" i="7"/>
  <c r="K95" i="7"/>
  <c r="K91" i="7"/>
  <c r="K96" i="7"/>
  <c r="K87" i="7"/>
  <c r="K94" i="7"/>
  <c r="K99" i="7"/>
  <c r="F104" i="7"/>
  <c r="H104" i="7"/>
  <c r="K103" i="7"/>
  <c r="K101" i="7"/>
  <c r="K102" i="7"/>
  <c r="K98" i="7"/>
  <c r="J136" i="8"/>
  <c r="F134" i="8"/>
  <c r="F133" i="8"/>
  <c r="K147" i="7" l="1"/>
  <c r="K104" i="7"/>
  <c r="H133" i="8"/>
  <c r="F136" i="8"/>
  <c r="H134" i="8"/>
  <c r="J133" i="8"/>
  <c r="H136" i="8"/>
  <c r="K136" i="8" l="1"/>
  <c r="K133" i="8"/>
  <c r="C55" i="9" l="1"/>
  <c r="J134" i="8"/>
  <c r="K134" i="8" s="1"/>
  <c r="D17" i="8"/>
  <c r="F137" i="8" l="1"/>
  <c r="K137" i="8" s="1"/>
  <c r="J123" i="8" l="1"/>
  <c r="J124" i="8"/>
  <c r="J138" i="8"/>
  <c r="J139" i="8"/>
  <c r="H123" i="8"/>
  <c r="H124" i="8"/>
  <c r="H138" i="8"/>
  <c r="H139" i="8"/>
  <c r="F123" i="8"/>
  <c r="F124" i="8"/>
  <c r="F138" i="8"/>
  <c r="F139" i="8"/>
  <c r="J151" i="7"/>
  <c r="J152" i="7"/>
  <c r="H151" i="7"/>
  <c r="H152" i="7"/>
  <c r="F151" i="7"/>
  <c r="F152" i="7"/>
  <c r="K139" i="8" l="1"/>
  <c r="K124" i="8"/>
  <c r="K138" i="8"/>
  <c r="K123" i="8"/>
  <c r="K151" i="7"/>
  <c r="K152" i="7"/>
  <c r="A13" i="10" l="1"/>
  <c r="J12" i="10" l="1"/>
  <c r="H12" i="10"/>
  <c r="H18" i="10" s="1"/>
  <c r="F12" i="10"/>
  <c r="F18" i="10" s="1"/>
  <c r="K19" i="10" s="1"/>
  <c r="K12" i="10" l="1"/>
  <c r="K18" i="10" s="1"/>
  <c r="K20" i="10" s="1"/>
  <c r="J18" i="10"/>
  <c r="K21" i="10" l="1"/>
  <c r="K22" i="10" s="1"/>
  <c r="K23" i="10" s="1"/>
  <c r="K24" i="10" l="1"/>
  <c r="K25" i="10" s="1"/>
  <c r="K26" i="10" s="1"/>
  <c r="D20" i="9"/>
  <c r="D9" i="4" l="1"/>
  <c r="J6" i="10"/>
  <c r="H20" i="9"/>
  <c r="F20" i="9"/>
  <c r="J20" i="9"/>
  <c r="D17" i="9"/>
  <c r="D18" i="9"/>
  <c r="C78" i="9"/>
  <c r="C82" i="9" s="1"/>
  <c r="D79" i="9"/>
  <c r="J44" i="8" l="1"/>
  <c r="F44" i="8"/>
  <c r="H44" i="8"/>
  <c r="K20" i="9"/>
  <c r="H83" i="9"/>
  <c r="F83" i="9"/>
  <c r="J83" i="9"/>
  <c r="F18" i="9"/>
  <c r="J18" i="9"/>
  <c r="H18" i="9"/>
  <c r="F17" i="9"/>
  <c r="J17" i="9"/>
  <c r="H17" i="9"/>
  <c r="F79" i="9"/>
  <c r="J79" i="9"/>
  <c r="H79" i="9"/>
  <c r="D78" i="9"/>
  <c r="K44" i="8" l="1"/>
  <c r="D50" i="8"/>
  <c r="D53" i="8"/>
  <c r="D42" i="8"/>
  <c r="D49" i="8"/>
  <c r="D52" i="8"/>
  <c r="D48" i="8"/>
  <c r="D51" i="8"/>
  <c r="K79" i="9"/>
  <c r="K18" i="9"/>
  <c r="D82" i="9"/>
  <c r="F78" i="9"/>
  <c r="H78" i="9"/>
  <c r="J78" i="9"/>
  <c r="K17" i="9"/>
  <c r="K83" i="9"/>
  <c r="D31" i="9"/>
  <c r="D59" i="9"/>
  <c r="D58" i="9"/>
  <c r="D60" i="9"/>
  <c r="D53" i="9"/>
  <c r="D50" i="9"/>
  <c r="D49" i="9"/>
  <c r="C45" i="9"/>
  <c r="D42" i="9"/>
  <c r="D39" i="9"/>
  <c r="D38" i="9"/>
  <c r="D36" i="9"/>
  <c r="D26" i="9"/>
  <c r="A13" i="9"/>
  <c r="D13" i="7"/>
  <c r="A13" i="7"/>
  <c r="A15" i="7" s="1"/>
  <c r="D122" i="8"/>
  <c r="D120" i="8"/>
  <c r="D118" i="8"/>
  <c r="D117" i="8"/>
  <c r="D116" i="8"/>
  <c r="D115" i="8"/>
  <c r="D114" i="8"/>
  <c r="D112" i="8"/>
  <c r="D111" i="8"/>
  <c r="C111" i="8"/>
  <c r="C87" i="8"/>
  <c r="C81" i="8"/>
  <c r="C75" i="8"/>
  <c r="D74" i="8"/>
  <c r="D73" i="8"/>
  <c r="D72" i="8"/>
  <c r="D71" i="8"/>
  <c r="D70" i="8"/>
  <c r="C70" i="8"/>
  <c r="D68" i="8"/>
  <c r="D67" i="8"/>
  <c r="C67" i="8"/>
  <c r="C61" i="8"/>
  <c r="C55" i="8"/>
  <c r="D60" i="8"/>
  <c r="A18" i="8"/>
  <c r="A25" i="8" s="1"/>
  <c r="A35" i="8" s="1"/>
  <c r="A41" i="8" s="1"/>
  <c r="J48" i="8" l="1"/>
  <c r="F48" i="8"/>
  <c r="H48" i="8"/>
  <c r="H51" i="8"/>
  <c r="J51" i="8"/>
  <c r="F51" i="8"/>
  <c r="J42" i="8"/>
  <c r="H42" i="8"/>
  <c r="F42" i="8"/>
  <c r="H50" i="8"/>
  <c r="F50" i="8"/>
  <c r="J50" i="8"/>
  <c r="J52" i="8"/>
  <c r="F52" i="8"/>
  <c r="H52" i="8"/>
  <c r="J49" i="8"/>
  <c r="F49" i="8"/>
  <c r="H49" i="8"/>
  <c r="J53" i="8"/>
  <c r="H53" i="8"/>
  <c r="F53" i="8"/>
  <c r="D65" i="8"/>
  <c r="D62" i="8"/>
  <c r="F111" i="7"/>
  <c r="J111" i="7"/>
  <c r="H111" i="7"/>
  <c r="H112" i="7"/>
  <c r="F112" i="7"/>
  <c r="J112" i="7"/>
  <c r="D76" i="9"/>
  <c r="H76" i="9" s="1"/>
  <c r="D71" i="9"/>
  <c r="F71" i="9" s="1"/>
  <c r="J72" i="7"/>
  <c r="H72" i="7"/>
  <c r="F72" i="7"/>
  <c r="H37" i="7"/>
  <c r="F37" i="7"/>
  <c r="J37" i="7"/>
  <c r="D66" i="9"/>
  <c r="H66" i="9" s="1"/>
  <c r="J39" i="7"/>
  <c r="H39" i="7"/>
  <c r="F39" i="7"/>
  <c r="F81" i="7"/>
  <c r="J81" i="7"/>
  <c r="H81" i="7"/>
  <c r="J82" i="7"/>
  <c r="H82" i="7"/>
  <c r="F82" i="7"/>
  <c r="F61" i="7"/>
  <c r="J61" i="7"/>
  <c r="H61" i="7"/>
  <c r="D47" i="9"/>
  <c r="H47" i="9" s="1"/>
  <c r="H113" i="7"/>
  <c r="F113" i="7"/>
  <c r="J113" i="7"/>
  <c r="J38" i="7"/>
  <c r="H38" i="7"/>
  <c r="F38" i="7"/>
  <c r="H62" i="7"/>
  <c r="F62" i="7"/>
  <c r="J62" i="7"/>
  <c r="D54" i="7"/>
  <c r="H54" i="7" s="1"/>
  <c r="J71" i="7"/>
  <c r="H71" i="7"/>
  <c r="F71" i="7"/>
  <c r="K78" i="9"/>
  <c r="F49" i="9"/>
  <c r="J49" i="9"/>
  <c r="H49" i="9"/>
  <c r="H31" i="9"/>
  <c r="F31" i="9"/>
  <c r="J31" i="9"/>
  <c r="H36" i="9"/>
  <c r="F36" i="9"/>
  <c r="J36" i="9"/>
  <c r="H82" i="9"/>
  <c r="F82" i="9"/>
  <c r="J82" i="9"/>
  <c r="H38" i="9"/>
  <c r="F38" i="9"/>
  <c r="J38" i="9"/>
  <c r="H26" i="9"/>
  <c r="J26" i="9"/>
  <c r="F26" i="9"/>
  <c r="H53" i="9"/>
  <c r="F53" i="9"/>
  <c r="J53" i="9"/>
  <c r="H39" i="9"/>
  <c r="F39" i="9"/>
  <c r="J39" i="9"/>
  <c r="H60" i="9"/>
  <c r="F60" i="9"/>
  <c r="J60" i="9"/>
  <c r="J50" i="9"/>
  <c r="H50" i="9"/>
  <c r="F50" i="9"/>
  <c r="F41" i="9"/>
  <c r="H41" i="9"/>
  <c r="J41" i="9"/>
  <c r="H58" i="9"/>
  <c r="F58" i="9"/>
  <c r="J58" i="9"/>
  <c r="H52" i="9"/>
  <c r="F52" i="9"/>
  <c r="J52" i="9"/>
  <c r="F42" i="9"/>
  <c r="H42" i="9"/>
  <c r="J42" i="9"/>
  <c r="H59" i="9"/>
  <c r="F59" i="9"/>
  <c r="J59" i="9"/>
  <c r="H67" i="8"/>
  <c r="F67" i="8"/>
  <c r="J67" i="8"/>
  <c r="J103" i="8"/>
  <c r="H103" i="8"/>
  <c r="F103" i="8"/>
  <c r="F117" i="8"/>
  <c r="J117" i="8"/>
  <c r="H117" i="8"/>
  <c r="J17" i="8"/>
  <c r="H17" i="8"/>
  <c r="F17" i="8"/>
  <c r="J68" i="8"/>
  <c r="H68" i="8"/>
  <c r="F68" i="8"/>
  <c r="F105" i="8"/>
  <c r="J105" i="8"/>
  <c r="H105" i="8"/>
  <c r="H118" i="8"/>
  <c r="F118" i="8"/>
  <c r="J118" i="8"/>
  <c r="D75" i="8"/>
  <c r="F120" i="8"/>
  <c r="J120" i="8"/>
  <c r="H120" i="8"/>
  <c r="J70" i="8"/>
  <c r="H70" i="8"/>
  <c r="F70" i="8"/>
  <c r="H111" i="8"/>
  <c r="F111" i="8"/>
  <c r="J111" i="8"/>
  <c r="H122" i="8"/>
  <c r="F122" i="8"/>
  <c r="J122" i="8"/>
  <c r="H71" i="8"/>
  <c r="J71" i="8"/>
  <c r="F71" i="8"/>
  <c r="H112" i="8"/>
  <c r="F112" i="8"/>
  <c r="J112" i="8"/>
  <c r="J102" i="8"/>
  <c r="F102" i="8"/>
  <c r="H102" i="8"/>
  <c r="F23" i="8"/>
  <c r="J23" i="8"/>
  <c r="H23" i="8"/>
  <c r="F72" i="8"/>
  <c r="J72" i="8"/>
  <c r="H72" i="8"/>
  <c r="J114" i="8"/>
  <c r="H114" i="8"/>
  <c r="F114" i="8"/>
  <c r="H116" i="8"/>
  <c r="J116" i="8"/>
  <c r="F116" i="8"/>
  <c r="H73" i="8"/>
  <c r="J73" i="8"/>
  <c r="F73" i="8"/>
  <c r="J115" i="8"/>
  <c r="F115" i="8"/>
  <c r="H115" i="8"/>
  <c r="D78" i="8"/>
  <c r="D79" i="8"/>
  <c r="D44" i="9"/>
  <c r="D73" i="9"/>
  <c r="D74" i="9"/>
  <c r="D63" i="9"/>
  <c r="D64" i="9"/>
  <c r="D68" i="9"/>
  <c r="D69" i="9"/>
  <c r="D55" i="9"/>
  <c r="D56" i="9"/>
  <c r="D33" i="9"/>
  <c r="D28" i="9"/>
  <c r="D29" i="9"/>
  <c r="D23" i="9"/>
  <c r="D13" i="9"/>
  <c r="D12" i="9"/>
  <c r="A15" i="9"/>
  <c r="A16" i="9" s="1"/>
  <c r="A22" i="9" s="1"/>
  <c r="A27" i="9" s="1"/>
  <c r="A32" i="9" s="1"/>
  <c r="A37" i="9" s="1"/>
  <c r="A43" i="9" s="1"/>
  <c r="A48" i="9" s="1"/>
  <c r="D24" i="9"/>
  <c r="D51" i="7"/>
  <c r="D55" i="7"/>
  <c r="D52" i="7"/>
  <c r="D76" i="8"/>
  <c r="D80" i="8"/>
  <c r="D12" i="8"/>
  <c r="D13" i="8"/>
  <c r="D58" i="8"/>
  <c r="D55" i="8"/>
  <c r="D56" i="8"/>
  <c r="D64" i="8"/>
  <c r="D61" i="8"/>
  <c r="D59" i="8"/>
  <c r="D85" i="7"/>
  <c r="D84" i="7"/>
  <c r="D83" i="7"/>
  <c r="D80" i="7"/>
  <c r="D78" i="7"/>
  <c r="D77" i="7"/>
  <c r="D75" i="7"/>
  <c r="D74" i="7"/>
  <c r="D70" i="7"/>
  <c r="D68" i="7"/>
  <c r="D67" i="7"/>
  <c r="D57" i="7"/>
  <c r="D42" i="7"/>
  <c r="D41" i="7"/>
  <c r="D36" i="7"/>
  <c r="D34" i="7"/>
  <c r="D33" i="7"/>
  <c r="D31" i="7"/>
  <c r="D30" i="7"/>
  <c r="D28" i="7"/>
  <c r="D27" i="7"/>
  <c r="D20" i="7"/>
  <c r="D18" i="7"/>
  <c r="D17" i="7"/>
  <c r="D14" i="7"/>
  <c r="D15" i="7"/>
  <c r="A32" i="7"/>
  <c r="D12" i="7"/>
  <c r="J76" i="9" l="1"/>
  <c r="K50" i="8"/>
  <c r="K49" i="8"/>
  <c r="K52" i="8"/>
  <c r="K53" i="8"/>
  <c r="K42" i="8"/>
  <c r="K51" i="8"/>
  <c r="K48" i="8"/>
  <c r="A74" i="8"/>
  <c r="A86" i="8" s="1"/>
  <c r="A92" i="8" s="1"/>
  <c r="A67" i="9"/>
  <c r="A72" i="9" s="1"/>
  <c r="A77" i="9" s="1"/>
  <c r="J71" i="9"/>
  <c r="F76" i="9"/>
  <c r="J66" i="9"/>
  <c r="H71" i="9"/>
  <c r="F54" i="7"/>
  <c r="J54" i="7"/>
  <c r="H19" i="8"/>
  <c r="K112" i="7"/>
  <c r="K62" i="7"/>
  <c r="K37" i="7"/>
  <c r="F66" i="9"/>
  <c r="K60" i="9"/>
  <c r="K81" i="7"/>
  <c r="F47" i="9"/>
  <c r="K61" i="7"/>
  <c r="K39" i="7"/>
  <c r="K72" i="7"/>
  <c r="J47" i="9"/>
  <c r="K71" i="7"/>
  <c r="K113" i="7"/>
  <c r="K38" i="7"/>
  <c r="K36" i="9"/>
  <c r="K111" i="7"/>
  <c r="K82" i="7"/>
  <c r="K59" i="9"/>
  <c r="K42" i="9"/>
  <c r="K39" i="9"/>
  <c r="K31" i="9"/>
  <c r="K41" i="9"/>
  <c r="K26" i="9"/>
  <c r="K82" i="9"/>
  <c r="K49" i="9"/>
  <c r="H45" i="9"/>
  <c r="F45" i="9"/>
  <c r="J45" i="9"/>
  <c r="K52" i="9"/>
  <c r="F63" i="9"/>
  <c r="J63" i="9"/>
  <c r="H63" i="9"/>
  <c r="H74" i="9"/>
  <c r="F74" i="9"/>
  <c r="J74" i="9"/>
  <c r="H73" i="9"/>
  <c r="F73" i="9"/>
  <c r="J73" i="9"/>
  <c r="H23" i="9"/>
  <c r="F23" i="9"/>
  <c r="J23" i="9"/>
  <c r="H55" i="9"/>
  <c r="F55" i="9"/>
  <c r="J55" i="9"/>
  <c r="H44" i="9"/>
  <c r="F44" i="9"/>
  <c r="J44" i="9"/>
  <c r="K58" i="9"/>
  <c r="F33" i="9"/>
  <c r="J33" i="9"/>
  <c r="H33" i="9"/>
  <c r="H12" i="9"/>
  <c r="F12" i="9"/>
  <c r="J12" i="9"/>
  <c r="H24" i="9"/>
  <c r="F24" i="9"/>
  <c r="J24" i="9"/>
  <c r="D14" i="9"/>
  <c r="H29" i="9"/>
  <c r="F29" i="9"/>
  <c r="J29" i="9"/>
  <c r="H28" i="9"/>
  <c r="F28" i="9"/>
  <c r="J28" i="9"/>
  <c r="K53" i="9"/>
  <c r="J56" i="9"/>
  <c r="H56" i="9"/>
  <c r="F56" i="9"/>
  <c r="J69" i="9"/>
  <c r="H69" i="9"/>
  <c r="F69" i="9"/>
  <c r="H68" i="9"/>
  <c r="F68" i="9"/>
  <c r="J68" i="9"/>
  <c r="F34" i="9"/>
  <c r="H34" i="9"/>
  <c r="J34" i="9"/>
  <c r="J64" i="9"/>
  <c r="H64" i="9"/>
  <c r="F64" i="9"/>
  <c r="K50" i="9"/>
  <c r="K38" i="9"/>
  <c r="K102" i="8"/>
  <c r="K117" i="8"/>
  <c r="K111" i="8"/>
  <c r="K122" i="8"/>
  <c r="K118" i="8"/>
  <c r="K112" i="8"/>
  <c r="K67" i="8"/>
  <c r="J19" i="8"/>
  <c r="F19" i="8"/>
  <c r="K23" i="8"/>
  <c r="K71" i="8"/>
  <c r="J61" i="8"/>
  <c r="F61" i="8"/>
  <c r="H61" i="8"/>
  <c r="F15" i="8"/>
  <c r="J15" i="8"/>
  <c r="H15" i="8"/>
  <c r="K70" i="8"/>
  <c r="F62" i="8"/>
  <c r="J62" i="8"/>
  <c r="H62" i="8"/>
  <c r="K115" i="8"/>
  <c r="F12" i="8"/>
  <c r="J12" i="8"/>
  <c r="H75" i="8"/>
  <c r="F75" i="8"/>
  <c r="J75" i="8"/>
  <c r="K103" i="8"/>
  <c r="J78" i="8"/>
  <c r="H78" i="8"/>
  <c r="F78" i="8"/>
  <c r="J13" i="8"/>
  <c r="H13" i="8"/>
  <c r="F13" i="8"/>
  <c r="J22" i="8"/>
  <c r="H22" i="8"/>
  <c r="F22" i="8"/>
  <c r="K72" i="8"/>
  <c r="K105" i="8"/>
  <c r="K68" i="8"/>
  <c r="H58" i="8"/>
  <c r="J58" i="8"/>
  <c r="F58" i="8"/>
  <c r="K116" i="8"/>
  <c r="H16" i="8"/>
  <c r="J16" i="8"/>
  <c r="F16" i="8"/>
  <c r="K114" i="8"/>
  <c r="H65" i="8"/>
  <c r="F65" i="8"/>
  <c r="J65" i="8"/>
  <c r="K73" i="8"/>
  <c r="J20" i="8"/>
  <c r="H20" i="8"/>
  <c r="F20" i="8"/>
  <c r="J76" i="8"/>
  <c r="H76" i="8"/>
  <c r="F76" i="8"/>
  <c r="K17" i="8"/>
  <c r="J79" i="8"/>
  <c r="H79" i="8"/>
  <c r="F79" i="8"/>
  <c r="H24" i="8"/>
  <c r="F24" i="8"/>
  <c r="J24" i="8"/>
  <c r="K120" i="8"/>
  <c r="F64" i="8"/>
  <c r="J64" i="8"/>
  <c r="H64" i="8"/>
  <c r="D84" i="8"/>
  <c r="H59" i="8"/>
  <c r="F59" i="8"/>
  <c r="J59" i="8"/>
  <c r="F56" i="8"/>
  <c r="J56" i="8"/>
  <c r="H56" i="8"/>
  <c r="H55" i="8"/>
  <c r="J55" i="8"/>
  <c r="F55" i="8"/>
  <c r="J12" i="7"/>
  <c r="F12" i="7"/>
  <c r="H12" i="7"/>
  <c r="J36" i="7"/>
  <c r="F36" i="7"/>
  <c r="H36" i="7"/>
  <c r="J55" i="7"/>
  <c r="F55" i="7"/>
  <c r="H55" i="7"/>
  <c r="J41" i="7"/>
  <c r="F41" i="7"/>
  <c r="H41" i="7"/>
  <c r="J42" i="7"/>
  <c r="F42" i="7"/>
  <c r="H42" i="7"/>
  <c r="H34" i="7"/>
  <c r="J34" i="7"/>
  <c r="F34" i="7"/>
  <c r="H85" i="7"/>
  <c r="J85" i="7"/>
  <c r="F85" i="7"/>
  <c r="H52" i="7"/>
  <c r="F52" i="7"/>
  <c r="J52" i="7"/>
  <c r="J75" i="7"/>
  <c r="F75" i="7"/>
  <c r="H75" i="7"/>
  <c r="H63" i="7"/>
  <c r="F63" i="7"/>
  <c r="J63" i="7"/>
  <c r="J15" i="7"/>
  <c r="F15" i="7"/>
  <c r="H15" i="7"/>
  <c r="F27" i="7"/>
  <c r="H27" i="7"/>
  <c r="J27" i="7"/>
  <c r="H78" i="7"/>
  <c r="J78" i="7"/>
  <c r="F78" i="7"/>
  <c r="J51" i="7"/>
  <c r="F51" i="7"/>
  <c r="H51" i="7"/>
  <c r="J28" i="7"/>
  <c r="F28" i="7"/>
  <c r="H28" i="7"/>
  <c r="H57" i="7"/>
  <c r="F57" i="7"/>
  <c r="J57" i="7"/>
  <c r="H17" i="7"/>
  <c r="J17" i="7"/>
  <c r="F17" i="7"/>
  <c r="J30" i="7"/>
  <c r="F30" i="7"/>
  <c r="H30" i="7"/>
  <c r="J67" i="7"/>
  <c r="F67" i="7"/>
  <c r="H67" i="7"/>
  <c r="D108" i="7"/>
  <c r="J74" i="7"/>
  <c r="F74" i="7"/>
  <c r="H74" i="7"/>
  <c r="J14" i="7"/>
  <c r="F14" i="7"/>
  <c r="H14" i="7"/>
  <c r="F80" i="7"/>
  <c r="H80" i="7"/>
  <c r="J80" i="7"/>
  <c r="J83" i="7"/>
  <c r="H83" i="7"/>
  <c r="F83" i="7"/>
  <c r="J73" i="7"/>
  <c r="F73" i="7"/>
  <c r="H73" i="7"/>
  <c r="H77" i="7"/>
  <c r="F77" i="7"/>
  <c r="J77" i="7"/>
  <c r="F40" i="7"/>
  <c r="H40" i="7"/>
  <c r="J40" i="7"/>
  <c r="H18" i="7"/>
  <c r="J18" i="7"/>
  <c r="F18" i="7"/>
  <c r="J31" i="7"/>
  <c r="F31" i="7"/>
  <c r="H31" i="7"/>
  <c r="J68" i="7"/>
  <c r="F68" i="7"/>
  <c r="H68" i="7"/>
  <c r="J20" i="7"/>
  <c r="F20" i="7"/>
  <c r="H20" i="7"/>
  <c r="H33" i="7"/>
  <c r="J33" i="7"/>
  <c r="F33" i="7"/>
  <c r="J70" i="7"/>
  <c r="F70" i="7"/>
  <c r="H70" i="7"/>
  <c r="H84" i="7"/>
  <c r="F84" i="7"/>
  <c r="J84" i="7"/>
  <c r="D82" i="8"/>
  <c r="D85" i="8"/>
  <c r="D81" i="8"/>
  <c r="D86" i="8"/>
  <c r="D15" i="9"/>
  <c r="A50" i="7"/>
  <c r="A66" i="7" s="1"/>
  <c r="A76" i="7" s="1"/>
  <c r="D115" i="7"/>
  <c r="D39" i="8"/>
  <c r="D36" i="8"/>
  <c r="D109" i="7"/>
  <c r="D116" i="7"/>
  <c r="D60" i="7"/>
  <c r="D150" i="7" s="1"/>
  <c r="D64" i="7"/>
  <c r="D65" i="7"/>
  <c r="D58" i="7"/>
  <c r="K71" i="9" l="1"/>
  <c r="D88" i="8"/>
  <c r="D90" i="8"/>
  <c r="K76" i="9"/>
  <c r="K54" i="7"/>
  <c r="H12" i="8"/>
  <c r="K66" i="9"/>
  <c r="K47" i="9"/>
  <c r="K24" i="9"/>
  <c r="K73" i="9"/>
  <c r="K33" i="9"/>
  <c r="K74" i="9"/>
  <c r="K68" i="9"/>
  <c r="K56" i="9"/>
  <c r="K28" i="9"/>
  <c r="K55" i="9"/>
  <c r="K45" i="9"/>
  <c r="H14" i="9"/>
  <c r="F14" i="9"/>
  <c r="J14" i="9"/>
  <c r="K29" i="9"/>
  <c r="K23" i="9"/>
  <c r="K64" i="9"/>
  <c r="H15" i="9"/>
  <c r="F15" i="9"/>
  <c r="J15" i="9"/>
  <c r="K34" i="9"/>
  <c r="K69" i="9"/>
  <c r="K12" i="9"/>
  <c r="K44" i="9"/>
  <c r="K63" i="9"/>
  <c r="K65" i="8"/>
  <c r="K16" i="8"/>
  <c r="K15" i="8"/>
  <c r="J37" i="8"/>
  <c r="H37" i="8"/>
  <c r="F37" i="8"/>
  <c r="F39" i="8"/>
  <c r="J39" i="8"/>
  <c r="H39" i="8"/>
  <c r="K79" i="8"/>
  <c r="K76" i="8"/>
  <c r="K62" i="8"/>
  <c r="D91" i="8"/>
  <c r="J81" i="8"/>
  <c r="H81" i="8"/>
  <c r="F81" i="8"/>
  <c r="H85" i="8"/>
  <c r="F85" i="8"/>
  <c r="J85" i="8"/>
  <c r="K55" i="8"/>
  <c r="K56" i="8"/>
  <c r="F84" i="8"/>
  <c r="J84" i="8"/>
  <c r="H84" i="8"/>
  <c r="K58" i="8"/>
  <c r="K78" i="8"/>
  <c r="K61" i="8"/>
  <c r="J40" i="8"/>
  <c r="H40" i="8"/>
  <c r="F40" i="8"/>
  <c r="K13" i="8"/>
  <c r="K64" i="8"/>
  <c r="H82" i="8"/>
  <c r="J82" i="8"/>
  <c r="F82" i="8"/>
  <c r="K59" i="8"/>
  <c r="K24" i="8"/>
  <c r="K20" i="8"/>
  <c r="K22" i="8"/>
  <c r="K75" i="8"/>
  <c r="H36" i="8"/>
  <c r="F36" i="8"/>
  <c r="J36" i="8"/>
  <c r="K19" i="8"/>
  <c r="K80" i="7"/>
  <c r="K27" i="7"/>
  <c r="K52" i="7"/>
  <c r="K68" i="7"/>
  <c r="K73" i="7"/>
  <c r="K83" i="7"/>
  <c r="K40" i="7"/>
  <c r="K63" i="7"/>
  <c r="K42" i="7"/>
  <c r="K84" i="7"/>
  <c r="K77" i="7"/>
  <c r="K17" i="7"/>
  <c r="K57" i="7"/>
  <c r="K51" i="7"/>
  <c r="K75" i="7"/>
  <c r="H116" i="7"/>
  <c r="J116" i="7"/>
  <c r="F116" i="7"/>
  <c r="F108" i="7"/>
  <c r="H108" i="7"/>
  <c r="J108" i="7"/>
  <c r="K55" i="7"/>
  <c r="K31" i="7"/>
  <c r="K85" i="7"/>
  <c r="K36" i="7"/>
  <c r="K74" i="7"/>
  <c r="K41" i="7"/>
  <c r="H115" i="7"/>
  <c r="J115" i="7"/>
  <c r="F115" i="7"/>
  <c r="K67" i="7"/>
  <c r="K70" i="7"/>
  <c r="K18" i="7"/>
  <c r="K28" i="7"/>
  <c r="H64" i="7"/>
  <c r="J64" i="7"/>
  <c r="F64" i="7"/>
  <c r="K15" i="7"/>
  <c r="F60" i="7"/>
  <c r="H60" i="7"/>
  <c r="J60" i="7"/>
  <c r="K78" i="7"/>
  <c r="K14" i="7"/>
  <c r="K30" i="7"/>
  <c r="H65" i="7"/>
  <c r="J65" i="7"/>
  <c r="F65" i="7"/>
  <c r="J109" i="7"/>
  <c r="F109" i="7"/>
  <c r="H109" i="7"/>
  <c r="K20" i="7"/>
  <c r="H58" i="7"/>
  <c r="J58" i="7"/>
  <c r="F58" i="7"/>
  <c r="K33" i="7"/>
  <c r="K34" i="7"/>
  <c r="K12" i="7"/>
  <c r="A101" i="8"/>
  <c r="A110" i="8" s="1"/>
  <c r="D87" i="8"/>
  <c r="D92" i="8"/>
  <c r="D98" i="8" l="1"/>
  <c r="D97" i="8"/>
  <c r="D99" i="8"/>
  <c r="D94" i="8"/>
  <c r="D96" i="8"/>
  <c r="D93" i="8"/>
  <c r="K12" i="8"/>
  <c r="J150" i="7"/>
  <c r="F150" i="7"/>
  <c r="H150" i="7"/>
  <c r="H84" i="9"/>
  <c r="F84" i="9"/>
  <c r="K85" i="9" s="1"/>
  <c r="K15" i="9"/>
  <c r="J84" i="9"/>
  <c r="K14" i="9"/>
  <c r="K36" i="8"/>
  <c r="K85" i="8"/>
  <c r="K39" i="8"/>
  <c r="H91" i="8"/>
  <c r="J91" i="8"/>
  <c r="F91" i="8"/>
  <c r="K40" i="8"/>
  <c r="K84" i="8"/>
  <c r="H87" i="8"/>
  <c r="F87" i="8"/>
  <c r="J87" i="8"/>
  <c r="K82" i="8"/>
  <c r="K81" i="8"/>
  <c r="J88" i="8"/>
  <c r="H88" i="8"/>
  <c r="F88" i="8"/>
  <c r="F90" i="8"/>
  <c r="J90" i="8"/>
  <c r="H90" i="8"/>
  <c r="K37" i="8"/>
  <c r="K60" i="7"/>
  <c r="K58" i="7"/>
  <c r="K64" i="7"/>
  <c r="K65" i="7"/>
  <c r="K108" i="7"/>
  <c r="K109" i="7"/>
  <c r="K115" i="7"/>
  <c r="K116" i="7"/>
  <c r="A138" i="8"/>
  <c r="F94" i="8" l="1"/>
  <c r="J94" i="8"/>
  <c r="H94" i="8"/>
  <c r="H97" i="8"/>
  <c r="F97" i="8"/>
  <c r="J97" i="8"/>
  <c r="J96" i="8"/>
  <c r="H96" i="8"/>
  <c r="F96" i="8"/>
  <c r="F98" i="8"/>
  <c r="J98" i="8"/>
  <c r="H98" i="8"/>
  <c r="J93" i="8"/>
  <c r="F93" i="8"/>
  <c r="H93" i="8"/>
  <c r="J99" i="8"/>
  <c r="H99" i="8"/>
  <c r="F99" i="8"/>
  <c r="H153" i="7"/>
  <c r="F153" i="7"/>
  <c r="K154" i="7" s="1"/>
  <c r="A139" i="8"/>
  <c r="K150" i="7"/>
  <c r="K84" i="9"/>
  <c r="K90" i="8"/>
  <c r="K88" i="8"/>
  <c r="K87" i="8"/>
  <c r="K91" i="8"/>
  <c r="J153" i="7"/>
  <c r="K94" i="8" l="1"/>
  <c r="K97" i="8"/>
  <c r="K98" i="8"/>
  <c r="K93" i="8"/>
  <c r="K96" i="8"/>
  <c r="K99" i="8"/>
  <c r="K153" i="7"/>
  <c r="K155" i="7" s="1"/>
  <c r="K156" i="7" s="1"/>
  <c r="K157" i="7" s="1"/>
  <c r="K158" i="7" s="1"/>
  <c r="K159" i="7" s="1"/>
  <c r="K160" i="7" s="1"/>
  <c r="K161" i="7" s="1"/>
  <c r="D10" i="4" s="1"/>
  <c r="K86" i="9"/>
  <c r="K87" i="9" s="1"/>
  <c r="K88" i="9" s="1"/>
  <c r="K89" i="9" s="1"/>
  <c r="K90" i="9" s="1"/>
  <c r="K91" i="9" s="1"/>
  <c r="K92" i="9" s="1"/>
  <c r="F140" i="8"/>
  <c r="K141" i="8" s="1"/>
  <c r="H140" i="8"/>
  <c r="J140" i="8"/>
  <c r="J6" i="9" l="1"/>
  <c r="D12" i="4"/>
  <c r="K140" i="8"/>
  <c r="K142" i="8" s="1"/>
  <c r="K143" i="8" s="1"/>
  <c r="K144" i="8" s="1"/>
  <c r="K145" i="8" s="1"/>
  <c r="K146" i="8" s="1"/>
  <c r="J6" i="7"/>
  <c r="K147" i="8" l="1"/>
  <c r="K148" i="8" s="1"/>
  <c r="J6" i="8" s="1"/>
  <c r="D11" i="4" l="1"/>
  <c r="D13" i="4" l="1"/>
  <c r="D14" i="4" l="1"/>
  <c r="D15" i="4" s="1"/>
  <c r="D16" i="4" s="1"/>
  <c r="D17" i="4" s="1"/>
</calcChain>
</file>

<file path=xl/sharedStrings.xml><?xml version="1.0" encoding="utf-8"?>
<sst xmlns="http://schemas.openxmlformats.org/spreadsheetml/2006/main" count="774" uniqueCount="189">
  <si>
    <t>საორიენტაციო ხარჯაღრიცხვა</t>
  </si>
  <si>
    <t>სახარჯთ. ღირებულება</t>
  </si>
  <si>
    <t>#</t>
  </si>
  <si>
    <t>სამუშაოთა დასახელება</t>
  </si>
  <si>
    <t>განზ.</t>
  </si>
  <si>
    <t>სულ</t>
  </si>
  <si>
    <t>მასალა</t>
  </si>
  <si>
    <t>ხელფასი</t>
  </si>
  <si>
    <t>მანქანა-მექანიზმები</t>
  </si>
  <si>
    <t>ჯამი</t>
  </si>
  <si>
    <t>მიწის დამუშავება ექსკავატორით</t>
  </si>
  <si>
    <t>მ³</t>
  </si>
  <si>
    <t>ექსკავატორი</t>
  </si>
  <si>
    <t>ზედმეტი გრუნტის გატანა</t>
  </si>
  <si>
    <t>მიწის დამუშავება ხელით საპროექტო ნიშმულამდე</t>
  </si>
  <si>
    <t>შრომის დანახარჯები</t>
  </si>
  <si>
    <t>მასალა:</t>
  </si>
  <si>
    <t>ღორღი (ფრაქცია 0 - 40 მმ)</t>
  </si>
  <si>
    <t>ბეტონის მომზადების მოწყობა</t>
  </si>
  <si>
    <t>სხვა მანქანა</t>
  </si>
  <si>
    <t>ლარი</t>
  </si>
  <si>
    <t>სხვა მასალა</t>
  </si>
  <si>
    <t>ბეტონი B25</t>
  </si>
  <si>
    <t>არმატურა A500CØ10</t>
  </si>
  <si>
    <t>ტ</t>
  </si>
  <si>
    <t>საქსოვი მავთული</t>
  </si>
  <si>
    <t>კგ</t>
  </si>
  <si>
    <t>საყალიბე მასალა</t>
  </si>
  <si>
    <t>მ</t>
  </si>
  <si>
    <t>მ²</t>
  </si>
  <si>
    <t>ელექტროდი</t>
  </si>
  <si>
    <t>ცალი</t>
  </si>
  <si>
    <t>დღიური მუშები</t>
  </si>
  <si>
    <t>ბეტონის ტუმბო</t>
  </si>
  <si>
    <t>ჯამი:</t>
  </si>
  <si>
    <t>სატრანსპორტო ხარჯი მასალიდან</t>
  </si>
  <si>
    <t>უსაფრთხოების ხარჯები</t>
  </si>
  <si>
    <t>ზედნადები ხარჯები</t>
  </si>
  <si>
    <t>გეგმიური დაგროვება</t>
  </si>
  <si>
    <t>მდინარის ბალასტი</t>
  </si>
  <si>
    <t>ცელოფანი</t>
  </si>
  <si>
    <t>რკ/ბ კონსტრუქციების იზოლაცია გრუნტის შეხების ადგილებში</t>
  </si>
  <si>
    <t>ბიტუმის მასტიკა</t>
  </si>
  <si>
    <t>გაზი</t>
  </si>
  <si>
    <t>კონსტრუქცია</t>
  </si>
  <si>
    <t>არქიტექტურა</t>
  </si>
  <si>
    <t>ბლოკი 20x20x40</t>
  </si>
  <si>
    <t>ქვიშა-ცემენტის ხსნარი</t>
  </si>
  <si>
    <t>შრომის დანახარჯი</t>
  </si>
  <si>
    <t xml:space="preserve">მასალა: </t>
  </si>
  <si>
    <t>აირი</t>
  </si>
  <si>
    <t>ანტიკონდენსაციური მემბრანის მოწყობა სახურავზე</t>
  </si>
  <si>
    <t>ლინოკრომი I ფენა</t>
  </si>
  <si>
    <t>XPS ფილა სისქით 5სმ</t>
  </si>
  <si>
    <t>სახურავზე დათბუნების მოწყობა XPS ფილებით</t>
  </si>
  <si>
    <t>ქვიშა (შავი)</t>
  </si>
  <si>
    <t>სახურავზე მომასწორებელი ფენის მოწყობა (ქანობებისთვის)</t>
  </si>
  <si>
    <t>სახურავზე მოჭიმვის მოწყობა ქვიშა-ცემენტის ხსნარით</t>
  </si>
  <si>
    <t>პარაპეტის მოწყობა მცირე ზომის ბეტონის ბლოკით</t>
  </si>
  <si>
    <t xml:space="preserve">იატაკებზე მომასწორებელი ფენის მოწყობა </t>
  </si>
  <si>
    <t>კედლების მოპირკეთება ალუმინის დეკორატიული პანელებით</t>
  </si>
  <si>
    <t>მოსაპირკეთებელი კომპოზიტური პანელი (Wood look aluminium cladding)</t>
  </si>
  <si>
    <t>მოსაპირკეთებელი კომპოზიტური პანელი (Aluminium composite panels -red)</t>
  </si>
  <si>
    <t>მოსაპირკეთებელი კომპოზიტური პანელი (Canopy element - silver)</t>
  </si>
  <si>
    <t>ალუმინის ვიტრაჟები</t>
  </si>
  <si>
    <t>ლითონის სამაგრები</t>
  </si>
  <si>
    <t>ლითონის დამხმარე კონსტრუქციები</t>
  </si>
  <si>
    <t xml:space="preserve">წყალსაწრეტი მილების მოწყობა პლასტმასის მილებით </t>
  </si>
  <si>
    <t>პლასტმასის მილი Ø100</t>
  </si>
  <si>
    <t>მუხლი</t>
  </si>
  <si>
    <t xml:space="preserve">ძაბრი </t>
  </si>
  <si>
    <t xml:space="preserve">მიმმართველი პროფილი მზიდი (ალუმინის მილკვადრატი 20x40x1,8) </t>
  </si>
  <si>
    <t>გრძ/მ</t>
  </si>
  <si>
    <t>სამაგრი კრონშტეინი AD-31180</t>
  </si>
  <si>
    <t>თერმოგამყოფი TS 031</t>
  </si>
  <si>
    <t>კასეტის კუთხის შემკრავი</t>
  </si>
  <si>
    <t>ალუმინის პროფილი A-08</t>
  </si>
  <si>
    <t>ანკერები</t>
  </si>
  <si>
    <t>მსხვილმარცვლოვანი ასფალტობეტონი</t>
  </si>
  <si>
    <t>დამკვეთი:</t>
  </si>
  <si>
    <t>შ.პ.ს "ვ-ჯეო რესტორნები"</t>
  </si>
  <si>
    <t>თვე</t>
  </si>
  <si>
    <t>კრებსითი ხარჯთაღრიცხვა</t>
  </si>
  <si>
    <t>კურსი</t>
  </si>
  <si>
    <t>სამუშოების ჩამონათვალი</t>
  </si>
  <si>
    <t>ჯამი (GEL)</t>
  </si>
  <si>
    <t>მოსამზადებელი სამუშაოები</t>
  </si>
  <si>
    <t>დღგ</t>
  </si>
  <si>
    <t>ტ.</t>
  </si>
  <si>
    <t>არმატურა A500CØ8</t>
  </si>
  <si>
    <t>არმატურა A500CØ12</t>
  </si>
  <si>
    <t>არმატურა A500CØ20</t>
  </si>
  <si>
    <t>არმატურა A500CØ22</t>
  </si>
  <si>
    <t>არმატურა A500CØ18</t>
  </si>
  <si>
    <t>არქიტექტურული ნაწილი</t>
  </si>
  <si>
    <t>კონსტრუქციული ნაწილი</t>
  </si>
  <si>
    <t>გარე ტერიტორია</t>
  </si>
  <si>
    <t>ასფალტით მოპირკეთება</t>
  </si>
  <si>
    <t>ქვიშა-ხრეშოვანი ნარევი</t>
  </si>
  <si>
    <t>თხევადი ბიტუმი</t>
  </si>
  <si>
    <t>ბეტონის ბორდიურების მოწყობა ბეტონის საფუძველზე</t>
  </si>
  <si>
    <t>ბეტონი მ200</t>
  </si>
  <si>
    <t>ბეტონის ბორდიური ზომით (0,15X0,3) მ.</t>
  </si>
  <si>
    <t>გზის და მოედნის მოწყობა დეკორატიული ფილებით გამწვანებით</t>
  </si>
  <si>
    <t>ქვიშა-ხრეშოვანი ქვედა ფენის მოწყობა საფუძვლის ფენად h=20 სმ</t>
  </si>
  <si>
    <t>ქვიშის ფენის მოწყობა h=8სმ</t>
  </si>
  <si>
    <t>ქვიშა</t>
  </si>
  <si>
    <t>ღორღის (ფრაქცია 0 - 40 მმ) ზედა ფენის მოწყობა h=10სმ</t>
  </si>
  <si>
    <t>გაუთვალისწინებელი სამუშაოები</t>
  </si>
  <si>
    <t>სამუშაოს დასახელება</t>
  </si>
  <si>
    <t>განზ. 
ერთ.</t>
  </si>
  <si>
    <t>რაოდ.</t>
  </si>
  <si>
    <t>ერთ. ფასი</t>
  </si>
  <si>
    <t>სულ 
ფასი</t>
  </si>
  <si>
    <t>დროებითი ღობის მოწყობა</t>
  </si>
  <si>
    <t>დროებითი ელექტრომომარაგების მოწყობა</t>
  </si>
  <si>
    <t>დროებითი საოფისე კონტეინერის მოწყობა</t>
  </si>
  <si>
    <t>დროებითი სასაწყობე კონტეინერის მოწყობა</t>
  </si>
  <si>
    <t>დროებითი ბიოტუალეტის მოწყობა</t>
  </si>
  <si>
    <t>ამწეს მომსახურება</t>
  </si>
  <si>
    <t>მანქ/დღე</t>
  </si>
  <si>
    <t>კ/დღე</t>
  </si>
  <si>
    <t>არმატურა A240C Ø8</t>
  </si>
  <si>
    <t>კარ-ფანჯარა და სხვა</t>
  </si>
  <si>
    <t>Wendy სანაპირო</t>
  </si>
  <si>
    <t>ბეტონი ბ15</t>
  </si>
  <si>
    <t>მონოლითური რკ/ბ საძირკვლის ფილის მოწყობა▼-0.1</t>
  </si>
  <si>
    <t>მონოლითური რკ/ბ სვეტის (სვ-1) (სვ-2)  მოწყობა</t>
  </si>
  <si>
    <t>მონოლითური რკ/ბ დიაფრაგმის მოწყობა</t>
  </si>
  <si>
    <t xml:space="preserve">მონოლითური რკ/ბ რიგელის  მოწყობა </t>
  </si>
  <si>
    <t>მონოლითური რკ/ბ გადახურვის ფილის მოწყობა▼3.70</t>
  </si>
  <si>
    <t>მონოლითური რკ/ბ გადახურვის ფილის მოწყობა▼7.50</t>
  </si>
  <si>
    <t>N</t>
  </si>
  <si>
    <t>არმატურა A500CØ14</t>
  </si>
  <si>
    <t xml:space="preserve">არმატურის ნაშვერების მოწყობა </t>
  </si>
  <si>
    <t>შრომის დანახარჯები ნაშვერები</t>
  </si>
  <si>
    <t>არმატურა A 500 C Ǿ= 12</t>
  </si>
  <si>
    <t>ტონა</t>
  </si>
  <si>
    <t>არმატურა A 500 C Ǿ= 18</t>
  </si>
  <si>
    <t>არმატურა A 500 C Ǿ= 8</t>
  </si>
  <si>
    <t>მილკვადრატი 150X150X6 L=3600</t>
  </si>
  <si>
    <t>ფირფიტა 458X100X8</t>
  </si>
  <si>
    <t>ფირფიტა 152X100X8</t>
  </si>
  <si>
    <t>ფოლადის ორტესებრი IPE200 L=32</t>
  </si>
  <si>
    <t xml:space="preserve">შველერი N18 L=30 </t>
  </si>
  <si>
    <t>ფირფიტა 300X480X8</t>
  </si>
  <si>
    <t>ფირფიტა 140X140X8</t>
  </si>
  <si>
    <t>ფოლადის კუთხოვანი 150x150x6 L=150</t>
  </si>
  <si>
    <t>საანკერე ჭანჭიკი M30</t>
  </si>
  <si>
    <t>მონოლითური რკ/ბ კიბის მოწყობა</t>
  </si>
  <si>
    <t>შრომის დანახარჯები ბეტ.სამუშაო</t>
  </si>
  <si>
    <t>ფოლადის გარე კიბის კონსტრუქციების მოწყობა</t>
  </si>
  <si>
    <t>მ2</t>
  </si>
  <si>
    <t>ბლოკი 30x20x40</t>
  </si>
  <si>
    <t>პერიმეტრის კედლების შევსება მცირე ზომის ბეტონის ბლოკით</t>
  </si>
  <si>
    <t xml:space="preserve">მოჭიმვის მოწყობა ქვიშა-ცემენტის ხსნარით </t>
  </si>
  <si>
    <t>ალუმინის ვიტრაჟების მონტაჟი და ღირებულება (იხ.სპეციფიკაცია) სართული 1</t>
  </si>
  <si>
    <t>ალუმინის ვიტრაჟების მონტაჟი და ღირებულება (იხ.სპეციფიკაცია) სართული 2</t>
  </si>
  <si>
    <t>მოსაპირკეთებელი კომპოზიტური პანელი (Aluminium composite panels -grey)</t>
  </si>
  <si>
    <t>ტერიტორიაზე ქვიშა-ხრეშოვანი ფენის მოწყობა h-20 სმ</t>
  </si>
  <si>
    <t>მსხვილმარცვლოვანი ა/ბ საფარის ქვედა ფენის მოწყობა სისქით 6 სმ.</t>
  </si>
  <si>
    <t>თხევადი ბიტუმის მოსხმა (0,7ლ/მ²)</t>
  </si>
  <si>
    <t>თხევადი ბიტუმის მოსხმა (0,35ლ/მ²)</t>
  </si>
  <si>
    <t>წვრილმარცვლოვანი ა/ბ საფარის ქვედა ფენის მოწყობა სისქით 4 სმ.</t>
  </si>
  <si>
    <t>ქვაფენილის მოწყობა ფილებით</t>
  </si>
  <si>
    <t xml:space="preserve">ქვიშა-ცემენტის ნერევი (10%ჰ=13.0 სმ </t>
  </si>
  <si>
    <t>მ3</t>
  </si>
  <si>
    <t>დროებითი დაცვის ჯიხურის მოწყობა</t>
  </si>
  <si>
    <t>ღორღი</t>
  </si>
  <si>
    <t>ტერასაზე ლითონ კონსტრუქციების მოწყობა</t>
  </si>
  <si>
    <t>კომპ</t>
  </si>
  <si>
    <t>მონოლითური რკ/ბ გულანების და ზღუდარების მოწყობა</t>
  </si>
  <si>
    <t>ლინოკრომი 2 ფენა</t>
  </si>
  <si>
    <t>მოაჯირი</t>
  </si>
  <si>
    <t xml:space="preserve">ქვიშა-ხრეშოვანი ქვედა ფენის მოწყობა საფუძვლის ფენად </t>
  </si>
  <si>
    <t>ქვაფენილი</t>
  </si>
  <si>
    <t>პარაპეტის კედლების ლესვა  ქვიშა-ცემენტის ხსნარით</t>
  </si>
  <si>
    <t xml:space="preserve">სახურავის ჰიდროიზოლაცია </t>
  </si>
  <si>
    <t xml:space="preserve">ბალასტის ფენის მოწყობა საძირკვლის ქვეშ </t>
  </si>
  <si>
    <t>ჩასატანებელი სვეტების მოწყობა</t>
  </si>
  <si>
    <t xml:space="preserve">შველერი N20 L=6 </t>
  </si>
  <si>
    <t>მილკვადრატი 200X200X5 L=6</t>
  </si>
  <si>
    <t>ლითონის მოაჯირი</t>
  </si>
  <si>
    <t>ლითონის მოაჯირების მოწყობა შეღებვით</t>
  </si>
  <si>
    <t>ანტიკოროზიული გრუნი</t>
  </si>
  <si>
    <t>ანტიკოროზიული საღებავი</t>
  </si>
  <si>
    <t>კგ.</t>
  </si>
  <si>
    <t>გარე ტერასის მოაჯირების მოწყობა ხის ფაქტურით</t>
  </si>
  <si>
    <r>
      <t xml:space="preserve">მის: კოსმონავტების სანაპირო </t>
    </r>
    <r>
      <rPr>
        <b/>
        <sz val="10"/>
        <rFont val="AcadMtavr"/>
      </rPr>
      <t>#</t>
    </r>
    <r>
      <rPr>
        <b/>
        <sz val="10"/>
        <rFont val="Calibri"/>
        <family val="2"/>
      </rPr>
      <t>49ა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</si>
</sst>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₽&quot;_-;\-* #,##0.00\ &quot;₽&quot;_-;_-* &quot;-&quot;??\ &quot;₽&quot;_-;_-@_-"/>
    <numFmt numFmtId="165" formatCode="#,##0.00\ &quot;₽&quot;"/>
    <numFmt numFmtId="166" formatCode="_-* #,##0.00_р_._-;\-* #,##0.00_р_._-;_-* &quot;-&quot;??_р_._-;_-@_-"/>
    <numFmt numFmtId="167" formatCode="_-* #,##0.00\ _₾_-;\-* #,##0.00\ _₾_-;_-* &quot;-&quot;??\ _₾_-;_-@_-"/>
    <numFmt numFmtId="168" formatCode="_-* #,##0.00\ [$₾-437]_-;\-* #,##0.00\ [$₾-437]_-;_-* &quot;-&quot;??\ [$₾-437]_-;_-@_-"/>
    <numFmt numFmtId="169" formatCode="0.0%"/>
    <numFmt numFmtId="170" formatCode="#,##0.00\ [$₾-437]"/>
    <numFmt numFmtId="171" formatCode="#,##0.00\ _₽"/>
    <numFmt numFmtId="172" formatCode="0.000"/>
    <numFmt numFmtId="173" formatCode="_-* #,##0.00\ _₽_-;\-* #,##0.00\ _₽_-;_-* &quot;-&quot;??\ _₽_-;_-@_-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Times New Roman"/>
      <family val="1"/>
      <charset val="204"/>
    </font>
    <font>
      <b/>
      <sz val="14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color theme="1"/>
      <name val="Calibri"/>
      <family val="2"/>
    </font>
    <font>
      <b/>
      <sz val="11"/>
      <color theme="0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1"/>
      <scheme val="minor"/>
    </font>
    <font>
      <sz val="11"/>
      <name val="Acadnusd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  <charset val="204"/>
    </font>
    <font>
      <b/>
      <sz val="10"/>
      <color theme="0"/>
      <name val="AcadNusx"/>
    </font>
    <font>
      <b/>
      <sz val="11"/>
      <color theme="0"/>
      <name val="AcadNusx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cadnusd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rgb="FFFF0000"/>
      <name val="Calibri"/>
      <family val="2"/>
    </font>
    <font>
      <b/>
      <sz val="14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  <font>
      <i/>
      <sz val="11"/>
      <color theme="1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i/>
      <sz val="9"/>
      <color theme="1"/>
      <name val="Sylfaen"/>
      <family val="1"/>
    </font>
    <font>
      <b/>
      <sz val="11"/>
      <color theme="0"/>
      <name val="Sylfaen"/>
      <family val="1"/>
    </font>
    <font>
      <sz val="12"/>
      <name val="Sylfaen"/>
      <family val="1"/>
    </font>
    <font>
      <b/>
      <sz val="10"/>
      <color theme="1"/>
      <name val="Sylfaen"/>
      <family val="1"/>
    </font>
    <font>
      <i/>
      <sz val="10"/>
      <name val="Sylfaen"/>
      <family val="1"/>
    </font>
    <font>
      <sz val="11"/>
      <color theme="1"/>
      <name val="Sylfaen"/>
      <family val="1"/>
    </font>
    <font>
      <sz val="11"/>
      <color theme="0"/>
      <name val="Sylfaen"/>
      <family val="1"/>
    </font>
    <font>
      <b/>
      <sz val="10"/>
      <color theme="0"/>
      <name val="Sylfaen"/>
      <family val="1"/>
    </font>
    <font>
      <b/>
      <sz val="11"/>
      <color theme="1"/>
      <name val="Sylfaen"/>
      <family val="1"/>
    </font>
    <font>
      <b/>
      <sz val="12"/>
      <name val="Calibri"/>
      <family val="2"/>
      <charset val="204"/>
    </font>
    <font>
      <b/>
      <sz val="10"/>
      <name val="AcadMtav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12" fillId="0" borderId="0" xfId="0" applyFont="1"/>
    <xf numFmtId="165" fontId="16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vertical="center"/>
    </xf>
    <xf numFmtId="0" fontId="24" fillId="0" borderId="0" xfId="0" applyFont="1"/>
    <xf numFmtId="0" fontId="19" fillId="4" borderId="1" xfId="0" applyFont="1" applyFill="1" applyBorder="1" applyAlignment="1">
      <alignment horizontal="left" vertical="center" wrapText="1"/>
    </xf>
    <xf numFmtId="0" fontId="19" fillId="0" borderId="0" xfId="0" applyFont="1"/>
    <xf numFmtId="0" fontId="10" fillId="0" borderId="1" xfId="0" applyFont="1" applyBorder="1" applyAlignment="1">
      <alignment horizontal="center" vertical="center"/>
    </xf>
    <xf numFmtId="0" fontId="25" fillId="0" borderId="0" xfId="0" applyFont="1"/>
    <xf numFmtId="165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9" fontId="17" fillId="0" borderId="1" xfId="0" applyNumberFormat="1" applyFont="1" applyBorder="1" applyAlignment="1">
      <alignment horizontal="center" vertical="center"/>
    </xf>
    <xf numFmtId="9" fontId="26" fillId="0" borderId="1" xfId="1" applyFont="1" applyBorder="1" applyAlignment="1">
      <alignment horizontal="center" vertical="center"/>
    </xf>
    <xf numFmtId="9" fontId="26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8" fontId="25" fillId="0" borderId="0" xfId="0" applyNumberFormat="1" applyFont="1"/>
    <xf numFmtId="165" fontId="17" fillId="0" borderId="0" xfId="0" applyNumberFormat="1" applyFont="1" applyAlignment="1">
      <alignment horizontal="left" vertical="center"/>
    </xf>
    <xf numFmtId="165" fontId="17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center" vertical="center"/>
    </xf>
    <xf numFmtId="165" fontId="29" fillId="0" borderId="0" xfId="0" applyNumberFormat="1" applyFont="1" applyAlignment="1">
      <alignment vertical="center"/>
    </xf>
    <xf numFmtId="165" fontId="2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0" fillId="2" borderId="7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170" fontId="31" fillId="0" borderId="1" xfId="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0" fillId="2" borderId="9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165" fontId="25" fillId="0" borderId="0" xfId="0" applyNumberFormat="1" applyFont="1"/>
    <xf numFmtId="171" fontId="13" fillId="4" borderId="1" xfId="0" applyNumberFormat="1" applyFont="1" applyFill="1" applyBorder="1" applyAlignment="1">
      <alignment horizontal="center" vertical="center" wrapText="1"/>
    </xf>
    <xf numFmtId="171" fontId="10" fillId="3" borderId="1" xfId="0" applyNumberFormat="1" applyFont="1" applyFill="1" applyBorder="1" applyAlignment="1">
      <alignment horizontal="center" vertical="center" wrapText="1"/>
    </xf>
    <xf numFmtId="171" fontId="10" fillId="4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5" fontId="39" fillId="0" borderId="0" xfId="0" applyNumberFormat="1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 wrapText="1"/>
    </xf>
    <xf numFmtId="165" fontId="38" fillId="0" borderId="0" xfId="0" applyNumberFormat="1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0" fontId="43" fillId="0" borderId="0" xfId="0" applyFont="1"/>
    <xf numFmtId="166" fontId="42" fillId="2" borderId="1" xfId="4" applyFont="1" applyFill="1" applyBorder="1" applyAlignment="1" applyProtection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3" fontId="12" fillId="5" borderId="1" xfId="0" applyNumberFormat="1" applyFont="1" applyFill="1" applyBorder="1" applyAlignment="1">
      <alignment horizontal="center" vertical="center" wrapText="1"/>
    </xf>
    <xf numFmtId="43" fontId="9" fillId="5" borderId="1" xfId="0" applyNumberFormat="1" applyFont="1" applyFill="1" applyBorder="1" applyAlignment="1">
      <alignment horizontal="center" vertical="center" wrapText="1"/>
    </xf>
    <xf numFmtId="170" fontId="43" fillId="4" borderId="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5" fontId="48" fillId="2" borderId="1" xfId="0" applyNumberFormat="1" applyFont="1" applyFill="1" applyBorder="1" applyAlignment="1">
      <alignment horizontal="center" vertical="center" wrapText="1"/>
    </xf>
    <xf numFmtId="171" fontId="48" fillId="2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43" fontId="13" fillId="4" borderId="1" xfId="8" applyFont="1" applyFill="1" applyBorder="1" applyAlignment="1">
      <alignment horizontal="center" vertical="center" wrapText="1"/>
    </xf>
    <xf numFmtId="43" fontId="8" fillId="4" borderId="1" xfId="8" applyFont="1" applyFill="1" applyBorder="1" applyAlignment="1">
      <alignment horizontal="center" vertical="center" wrapText="1"/>
    </xf>
    <xf numFmtId="43" fontId="19" fillId="4" borderId="1" xfId="8" applyFont="1" applyFill="1" applyBorder="1" applyAlignment="1">
      <alignment horizontal="center" vertical="center" wrapText="1"/>
    </xf>
    <xf numFmtId="43" fontId="8" fillId="4" borderId="1" xfId="8" applyFont="1" applyFill="1" applyBorder="1" applyAlignment="1">
      <alignment horizontal="center" vertical="top" wrapText="1"/>
    </xf>
    <xf numFmtId="43" fontId="10" fillId="4" borderId="1" xfId="8" applyFont="1" applyFill="1" applyBorder="1" applyAlignment="1">
      <alignment horizontal="center" vertical="center" wrapText="1"/>
    </xf>
    <xf numFmtId="43" fontId="49" fillId="4" borderId="1" xfId="8" applyFont="1" applyFill="1" applyBorder="1" applyAlignment="1">
      <alignment horizontal="center" vertical="center" wrapText="1"/>
    </xf>
    <xf numFmtId="43" fontId="49" fillId="4" borderId="1" xfId="8" applyFont="1" applyFill="1" applyBorder="1" applyAlignment="1">
      <alignment horizontal="center" vertical="top" wrapText="1"/>
    </xf>
    <xf numFmtId="43" fontId="50" fillId="4" borderId="1" xfId="8" applyFont="1" applyFill="1" applyBorder="1" applyAlignment="1">
      <alignment horizontal="center" vertical="center" wrapText="1"/>
    </xf>
    <xf numFmtId="170" fontId="0" fillId="0" borderId="0" xfId="0" applyNumberFormat="1"/>
    <xf numFmtId="0" fontId="51" fillId="0" borderId="0" xfId="0" applyFont="1"/>
    <xf numFmtId="170" fontId="31" fillId="0" borderId="1" xfId="6" applyNumberFormat="1" applyFont="1" applyFill="1" applyBorder="1" applyAlignment="1">
      <alignment vertical="center" wrapText="1"/>
    </xf>
    <xf numFmtId="170" fontId="6" fillId="0" borderId="1" xfId="6" applyNumberFormat="1" applyFont="1" applyFill="1" applyBorder="1" applyAlignment="1">
      <alignment vertical="center" wrapText="1"/>
    </xf>
    <xf numFmtId="170" fontId="33" fillId="2" borderId="11" xfId="7" applyNumberFormat="1" applyFont="1" applyFill="1" applyBorder="1" applyAlignment="1">
      <alignment vertical="center" wrapText="1"/>
    </xf>
    <xf numFmtId="171" fontId="19" fillId="0" borderId="1" xfId="0" applyNumberFormat="1" applyFont="1" applyBorder="1" applyAlignment="1">
      <alignment horizontal="center" vertical="center" wrapText="1"/>
    </xf>
    <xf numFmtId="165" fontId="17" fillId="0" borderId="0" xfId="0" applyNumberFormat="1" applyFont="1" applyAlignment="1">
      <alignment vertical="center"/>
    </xf>
    <xf numFmtId="165" fontId="19" fillId="0" borderId="0" xfId="0" applyNumberFormat="1" applyFont="1" applyAlignment="1">
      <alignment vertical="center"/>
    </xf>
    <xf numFmtId="170" fontId="19" fillId="0" borderId="0" xfId="0" applyNumberFormat="1" applyFont="1" applyAlignment="1">
      <alignment vertical="center"/>
    </xf>
    <xf numFmtId="0" fontId="53" fillId="7" borderId="1" xfId="0" applyFont="1" applyFill="1" applyBorder="1" applyAlignment="1">
      <alignment horizontal="left" vertical="top" wrapText="1"/>
    </xf>
    <xf numFmtId="0" fontId="54" fillId="7" borderId="1" xfId="0" applyFont="1" applyFill="1" applyBorder="1" applyAlignment="1">
      <alignment horizontal="center" vertical="top" wrapText="1"/>
    </xf>
    <xf numFmtId="2" fontId="54" fillId="7" borderId="1" xfId="0" applyNumberFormat="1" applyFont="1" applyFill="1" applyBorder="1" applyAlignment="1">
      <alignment horizontal="center" vertical="top" wrapText="1"/>
    </xf>
    <xf numFmtId="2" fontId="54" fillId="7" borderId="1" xfId="0" applyNumberFormat="1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 wrapText="1"/>
    </xf>
    <xf numFmtId="2" fontId="54" fillId="0" borderId="4" xfId="0" applyNumberFormat="1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horizontal="center" wrapText="1"/>
    </xf>
    <xf numFmtId="2" fontId="54" fillId="0" borderId="1" xfId="0" applyNumberFormat="1" applyFont="1" applyBorder="1" applyAlignment="1">
      <alignment horizontal="center" vertical="top" wrapText="1"/>
    </xf>
    <xf numFmtId="2" fontId="54" fillId="0" borderId="1" xfId="0" applyNumberFormat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165" fontId="58" fillId="0" borderId="0" xfId="0" applyNumberFormat="1" applyFont="1" applyAlignment="1">
      <alignment horizontal="center" vertical="center"/>
    </xf>
    <xf numFmtId="165" fontId="59" fillId="0" borderId="0" xfId="0" applyNumberFormat="1" applyFont="1" applyAlignment="1">
      <alignment vertical="center"/>
    </xf>
    <xf numFmtId="165" fontId="60" fillId="0" borderId="0" xfId="0" applyNumberFormat="1" applyFont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5" fontId="61" fillId="0" borderId="0" xfId="0" applyNumberFormat="1" applyFont="1" applyAlignment="1">
      <alignment vertical="center"/>
    </xf>
    <xf numFmtId="170" fontId="61" fillId="0" borderId="0" xfId="0" applyNumberFormat="1" applyFont="1" applyAlignment="1">
      <alignment vertical="center"/>
    </xf>
    <xf numFmtId="165" fontId="62" fillId="0" borderId="0" xfId="0" applyNumberFormat="1" applyFont="1" applyAlignment="1">
      <alignment horizontal="center" vertical="center"/>
    </xf>
    <xf numFmtId="165" fontId="55" fillId="0" borderId="0" xfId="0" applyNumberFormat="1" applyFont="1" applyAlignment="1">
      <alignment horizontal="center" vertical="center"/>
    </xf>
    <xf numFmtId="0" fontId="64" fillId="0" borderId="0" xfId="5" applyFont="1" applyAlignment="1">
      <alignment horizontal="center"/>
    </xf>
    <xf numFmtId="0" fontId="65" fillId="3" borderId="1" xfId="0" applyFont="1" applyFill="1" applyBorder="1" applyAlignment="1">
      <alignment horizontal="center" vertical="center"/>
    </xf>
    <xf numFmtId="4" fontId="65" fillId="3" borderId="1" xfId="0" applyNumberFormat="1" applyFont="1" applyFill="1" applyBorder="1" applyAlignment="1">
      <alignment horizontal="center" vertical="center"/>
    </xf>
    <xf numFmtId="43" fontId="65" fillId="3" borderId="1" xfId="8" applyFont="1" applyFill="1" applyBorder="1" applyAlignment="1">
      <alignment horizontal="center" vertical="center"/>
    </xf>
    <xf numFmtId="0" fontId="56" fillId="0" borderId="0" xfId="0" applyFont="1"/>
    <xf numFmtId="0" fontId="65" fillId="4" borderId="1" xfId="0" applyFont="1" applyFill="1" applyBorder="1" applyAlignment="1">
      <alignment horizontal="center" vertical="center"/>
    </xf>
    <xf numFmtId="0" fontId="65" fillId="7" borderId="1" xfId="0" applyFont="1" applyFill="1" applyBorder="1" applyAlignment="1">
      <alignment horizontal="left" vertical="center" wrapText="1"/>
    </xf>
    <xf numFmtId="0" fontId="65" fillId="7" borderId="1" xfId="0" applyFont="1" applyFill="1" applyBorder="1" applyAlignment="1">
      <alignment horizontal="center" vertical="center"/>
    </xf>
    <xf numFmtId="4" fontId="65" fillId="7" borderId="1" xfId="0" applyNumberFormat="1" applyFont="1" applyFill="1" applyBorder="1" applyAlignment="1">
      <alignment horizontal="center" vertical="center"/>
    </xf>
    <xf numFmtId="43" fontId="56" fillId="7" borderId="1" xfId="8" applyFont="1" applyFill="1" applyBorder="1" applyAlignment="1">
      <alignment horizontal="center" vertical="center"/>
    </xf>
    <xf numFmtId="0" fontId="55" fillId="4" borderId="1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horizontal="center" vertical="center"/>
    </xf>
    <xf numFmtId="43" fontId="55" fillId="4" borderId="1" xfId="8" applyFont="1" applyFill="1" applyBorder="1" applyAlignment="1">
      <alignment horizontal="center" vertical="center"/>
    </xf>
    <xf numFmtId="43" fontId="56" fillId="4" borderId="1" xfId="8" applyFont="1" applyFill="1" applyBorder="1" applyAlignment="1">
      <alignment horizontal="center" vertical="center"/>
    </xf>
    <xf numFmtId="43" fontId="56" fillId="0" borderId="1" xfId="8" applyFont="1" applyBorder="1" applyAlignment="1">
      <alignment horizontal="center" vertical="center"/>
    </xf>
    <xf numFmtId="0" fontId="55" fillId="0" borderId="0" xfId="0" applyFont="1"/>
    <xf numFmtId="43" fontId="55" fillId="7" borderId="1" xfId="8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6" fillId="0" borderId="0" xfId="0" applyFont="1"/>
    <xf numFmtId="0" fontId="55" fillId="4" borderId="1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/>
    </xf>
    <xf numFmtId="0" fontId="55" fillId="7" borderId="1" xfId="0" applyFont="1" applyFill="1" applyBorder="1" applyAlignment="1">
      <alignment horizontal="center" vertical="center"/>
    </xf>
    <xf numFmtId="0" fontId="65" fillId="4" borderId="4" xfId="0" applyFont="1" applyFill="1" applyBorder="1" applyAlignment="1">
      <alignment horizontal="center" vertical="center"/>
    </xf>
    <xf numFmtId="0" fontId="55" fillId="4" borderId="4" xfId="0" applyFont="1" applyFill="1" applyBorder="1" applyAlignment="1">
      <alignment horizontal="left" vertical="center" wrapText="1"/>
    </xf>
    <xf numFmtId="0" fontId="55" fillId="4" borderId="4" xfId="0" applyFont="1" applyFill="1" applyBorder="1" applyAlignment="1">
      <alignment horizontal="center" vertical="center"/>
    </xf>
    <xf numFmtId="43" fontId="55" fillId="4" borderId="4" xfId="8" applyFont="1" applyFill="1" applyBorder="1" applyAlignment="1">
      <alignment horizontal="center" vertical="center"/>
    </xf>
    <xf numFmtId="43" fontId="56" fillId="0" borderId="1" xfId="8" applyFont="1" applyFill="1" applyBorder="1" applyAlignment="1">
      <alignment horizontal="center" vertical="center"/>
    </xf>
    <xf numFmtId="43" fontId="55" fillId="0" borderId="1" xfId="8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55" fillId="0" borderId="2" xfId="0" applyFont="1" applyBorder="1" applyAlignment="1">
      <alignment horizontal="left" vertical="center" wrapText="1"/>
    </xf>
    <xf numFmtId="0" fontId="56" fillId="0" borderId="2" xfId="0" applyFont="1" applyBorder="1" applyAlignment="1">
      <alignment horizontal="center" vertical="center"/>
    </xf>
    <xf numFmtId="43" fontId="55" fillId="0" borderId="2" xfId="8" applyFont="1" applyFill="1" applyBorder="1" applyAlignment="1">
      <alignment horizontal="center" vertical="center"/>
    </xf>
    <xf numFmtId="0" fontId="61" fillId="0" borderId="0" xfId="0" applyFont="1"/>
    <xf numFmtId="0" fontId="61" fillId="7" borderId="1" xfId="0" applyFont="1" applyFill="1" applyBorder="1" applyAlignment="1">
      <alignment horizontal="left" vertical="center" wrapText="1"/>
    </xf>
    <xf numFmtId="43" fontId="61" fillId="7" borderId="1" xfId="8" applyFont="1" applyFill="1" applyBorder="1" applyAlignment="1">
      <alignment horizontal="center" vertical="center"/>
    </xf>
    <xf numFmtId="0" fontId="67" fillId="0" borderId="0" xfId="0" applyFont="1"/>
    <xf numFmtId="0" fontId="68" fillId="2" borderId="1" xfId="0" applyFont="1" applyFill="1" applyBorder="1" applyAlignment="1">
      <alignment horizontal="center" vertical="center"/>
    </xf>
    <xf numFmtId="0" fontId="69" fillId="2" borderId="1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/>
    </xf>
    <xf numFmtId="165" fontId="69" fillId="2" borderId="1" xfId="0" applyNumberFormat="1" applyFont="1" applyFill="1" applyBorder="1" applyAlignment="1">
      <alignment horizontal="center" vertical="center"/>
    </xf>
    <xf numFmtId="171" fontId="69" fillId="2" borderId="1" xfId="0" applyNumberFormat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9" fontId="59" fillId="0" borderId="1" xfId="0" applyNumberFormat="1" applyFont="1" applyBorder="1" applyAlignment="1">
      <alignment horizontal="center" vertical="center"/>
    </xf>
    <xf numFmtId="165" fontId="65" fillId="4" borderId="1" xfId="0" applyNumberFormat="1" applyFont="1" applyFill="1" applyBorder="1" applyAlignment="1">
      <alignment horizontal="center" vertical="center"/>
    </xf>
    <xf numFmtId="171" fontId="65" fillId="4" borderId="1" xfId="0" applyNumberFormat="1" applyFont="1" applyFill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169" fontId="59" fillId="0" borderId="1" xfId="0" applyNumberFormat="1" applyFont="1" applyBorder="1" applyAlignment="1">
      <alignment horizontal="center" vertical="center"/>
    </xf>
    <xf numFmtId="9" fontId="70" fillId="0" borderId="1" xfId="1" applyFont="1" applyBorder="1" applyAlignment="1">
      <alignment horizontal="center" vertical="center"/>
    </xf>
    <xf numFmtId="9" fontId="70" fillId="0" borderId="1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165" fontId="67" fillId="0" borderId="0" xfId="0" applyNumberFormat="1" applyFont="1"/>
    <xf numFmtId="168" fontId="67" fillId="0" borderId="0" xfId="0" applyNumberFormat="1" applyFont="1"/>
    <xf numFmtId="0" fontId="56" fillId="4" borderId="1" xfId="0" applyFont="1" applyFill="1" applyBorder="1" applyAlignment="1">
      <alignment horizontal="center" vertical="center" wrapText="1"/>
    </xf>
    <xf numFmtId="43" fontId="55" fillId="4" borderId="1" xfId="8" applyFont="1" applyFill="1" applyBorder="1" applyAlignment="1">
      <alignment horizontal="center" vertical="center" wrapText="1"/>
    </xf>
    <xf numFmtId="43" fontId="56" fillId="4" borderId="1" xfId="8" applyFont="1" applyFill="1" applyBorder="1" applyAlignment="1">
      <alignment horizontal="center" vertical="center" wrapText="1"/>
    </xf>
    <xf numFmtId="43" fontId="56" fillId="0" borderId="1" xfId="8" applyFont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65" fillId="4" borderId="2" xfId="0" applyFont="1" applyFill="1" applyBorder="1" applyAlignment="1">
      <alignment horizontal="center" vertical="center"/>
    </xf>
    <xf numFmtId="0" fontId="55" fillId="4" borderId="2" xfId="0" applyFont="1" applyFill="1" applyBorder="1" applyAlignment="1">
      <alignment horizontal="left" vertical="center" wrapText="1"/>
    </xf>
    <xf numFmtId="0" fontId="56" fillId="4" borderId="2" xfId="0" applyFont="1" applyFill="1" applyBorder="1" applyAlignment="1">
      <alignment horizontal="center" vertical="center" wrapText="1"/>
    </xf>
    <xf numFmtId="43" fontId="55" fillId="4" borderId="2" xfId="8" applyFont="1" applyFill="1" applyBorder="1" applyAlignment="1">
      <alignment horizontal="center" vertical="center" wrapText="1"/>
    </xf>
    <xf numFmtId="0" fontId="65" fillId="7" borderId="1" xfId="0" applyFont="1" applyFill="1" applyBorder="1" applyAlignment="1">
      <alignment horizontal="center" vertical="center" wrapText="1"/>
    </xf>
    <xf numFmtId="43" fontId="56" fillId="7" borderId="1" xfId="8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left" vertical="center" wrapText="1"/>
    </xf>
    <xf numFmtId="2" fontId="54" fillId="4" borderId="1" xfId="0" applyNumberFormat="1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71" fontId="8" fillId="4" borderId="1" xfId="0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/>
    <xf numFmtId="2" fontId="13" fillId="4" borderId="1" xfId="0" applyNumberFormat="1" applyFont="1" applyFill="1" applyBorder="1" applyAlignment="1">
      <alignment horizontal="center" vertical="center"/>
    </xf>
    <xf numFmtId="171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top" wrapText="1"/>
    </xf>
    <xf numFmtId="43" fontId="19" fillId="4" borderId="1" xfId="8" applyFont="1" applyFill="1" applyBorder="1" applyAlignment="1">
      <alignment horizontal="center" vertical="top" wrapText="1"/>
    </xf>
    <xf numFmtId="43" fontId="13" fillId="4" borderId="1" xfId="0" applyNumberFormat="1" applyFont="1" applyFill="1" applyBorder="1" applyAlignment="1">
      <alignment horizontal="center" vertical="center" wrapText="1"/>
    </xf>
    <xf numFmtId="17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/>
    <xf numFmtId="4" fontId="13" fillId="4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9" fontId="7" fillId="6" borderId="1" xfId="0" applyNumberFormat="1" applyFont="1" applyFill="1" applyBorder="1" applyAlignment="1">
      <alignment horizontal="center" vertical="center"/>
    </xf>
    <xf numFmtId="170" fontId="6" fillId="6" borderId="1" xfId="6" applyNumberFormat="1" applyFont="1" applyFill="1" applyBorder="1" applyAlignment="1">
      <alignment vertical="center" wrapText="1"/>
    </xf>
    <xf numFmtId="4" fontId="65" fillId="0" borderId="1" xfId="0" applyNumberFormat="1" applyFont="1" applyBorder="1" applyAlignment="1">
      <alignment horizontal="center" vertical="center"/>
    </xf>
    <xf numFmtId="2" fontId="55" fillId="0" borderId="1" xfId="0" applyNumberFormat="1" applyFont="1" applyBorder="1" applyAlignment="1">
      <alignment horizontal="center" vertical="center"/>
    </xf>
    <xf numFmtId="2" fontId="61" fillId="0" borderId="1" xfId="0" applyNumberFormat="1" applyFont="1" applyBorder="1" applyAlignment="1">
      <alignment horizontal="center" vertical="center"/>
    </xf>
    <xf numFmtId="2" fontId="55" fillId="0" borderId="4" xfId="0" applyNumberFormat="1" applyFont="1" applyBorder="1" applyAlignment="1">
      <alignment horizontal="center" vertical="center" wrapText="1"/>
    </xf>
    <xf numFmtId="172" fontId="54" fillId="0" borderId="1" xfId="0" applyNumberFormat="1" applyFont="1" applyBorder="1" applyAlignment="1">
      <alignment horizontal="center" vertical="top" wrapText="1"/>
    </xf>
    <xf numFmtId="2" fontId="55" fillId="0" borderId="4" xfId="0" applyNumberFormat="1" applyFont="1" applyBorder="1" applyAlignment="1">
      <alignment horizontal="center" vertical="center"/>
    </xf>
    <xf numFmtId="2" fontId="55" fillId="0" borderId="2" xfId="0" applyNumberFormat="1" applyFont="1" applyBorder="1" applyAlignment="1">
      <alignment horizontal="center" vertical="center"/>
    </xf>
    <xf numFmtId="2" fontId="55" fillId="0" borderId="1" xfId="0" applyNumberFormat="1" applyFont="1" applyBorder="1" applyAlignment="1">
      <alignment horizontal="center" vertical="center" wrapText="1"/>
    </xf>
    <xf numFmtId="2" fontId="55" fillId="0" borderId="2" xfId="0" applyNumberFormat="1" applyFont="1" applyBorder="1" applyAlignment="1">
      <alignment horizontal="center" vertical="center" wrapText="1"/>
    </xf>
    <xf numFmtId="166" fontId="63" fillId="2" borderId="2" xfId="4" applyFont="1" applyFill="1" applyBorder="1" applyAlignment="1" applyProtection="1">
      <alignment horizontal="center" vertical="center" wrapText="1"/>
    </xf>
    <xf numFmtId="166" fontId="63" fillId="2" borderId="1" xfId="4" applyFont="1" applyFill="1" applyBorder="1" applyAlignment="1" applyProtection="1">
      <alignment horizontal="center" vertical="center" wrapText="1"/>
    </xf>
    <xf numFmtId="166" fontId="63" fillId="2" borderId="3" xfId="4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3" fontId="10" fillId="0" borderId="1" xfId="8" applyFont="1" applyFill="1" applyBorder="1" applyAlignment="1">
      <alignment horizontal="center" vertical="center" wrapText="1"/>
    </xf>
    <xf numFmtId="43" fontId="49" fillId="0" borderId="1" xfId="8" applyFont="1" applyFill="1" applyBorder="1" applyAlignment="1">
      <alignment horizontal="center" vertical="center" wrapText="1"/>
    </xf>
    <xf numFmtId="43" fontId="50" fillId="0" borderId="1" xfId="8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3" fontId="13" fillId="0" borderId="1" xfId="8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3" fontId="19" fillId="0" borderId="1" xfId="8" applyFont="1" applyFill="1" applyBorder="1" applyAlignment="1">
      <alignment horizontal="center" vertical="center" wrapText="1"/>
    </xf>
    <xf numFmtId="43" fontId="8" fillId="0" borderId="1" xfId="8" applyFont="1" applyFill="1" applyBorder="1" applyAlignment="1">
      <alignment horizontal="center" vertical="center" wrapText="1"/>
    </xf>
    <xf numFmtId="43" fontId="8" fillId="0" borderId="1" xfId="8" applyFont="1" applyFill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 wrapText="1"/>
    </xf>
    <xf numFmtId="170" fontId="38" fillId="0" borderId="0" xfId="0" applyNumberFormat="1" applyFont="1" applyAlignment="1">
      <alignment vertical="center"/>
    </xf>
    <xf numFmtId="44" fontId="71" fillId="0" borderId="0" xfId="9" applyFont="1" applyAlignment="1">
      <alignment horizontal="center" vertical="center"/>
    </xf>
    <xf numFmtId="173" fontId="48" fillId="2" borderId="1" xfId="0" applyNumberFormat="1" applyFont="1" applyFill="1" applyBorder="1" applyAlignment="1">
      <alignment horizontal="center" vertical="center" wrapText="1"/>
    </xf>
    <xf numFmtId="173" fontId="10" fillId="4" borderId="1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30" fillId="2" borderId="5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horizontal="left" vertical="center"/>
    </xf>
    <xf numFmtId="165" fontId="52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170" fontId="39" fillId="0" borderId="0" xfId="0" applyNumberFormat="1" applyFont="1" applyAlignment="1">
      <alignment horizontal="center" vertical="center"/>
    </xf>
    <xf numFmtId="166" fontId="42" fillId="2" borderId="1" xfId="4" applyFont="1" applyFill="1" applyBorder="1" applyAlignment="1" applyProtection="1">
      <alignment horizontal="center" vertical="center" wrapText="1"/>
    </xf>
    <xf numFmtId="166" fontId="42" fillId="2" borderId="1" xfId="4" applyFont="1" applyFill="1" applyBorder="1" applyAlignment="1" applyProtection="1">
      <alignment horizontal="center" vertical="center"/>
    </xf>
    <xf numFmtId="0" fontId="41" fillId="2" borderId="1" xfId="2" applyFont="1" applyFill="1" applyBorder="1" applyAlignment="1">
      <alignment horizontal="center" vertical="center"/>
    </xf>
    <xf numFmtId="0" fontId="42" fillId="2" borderId="2" xfId="2" applyFont="1" applyFill="1" applyBorder="1" applyAlignment="1">
      <alignment horizontal="center" vertical="center" wrapText="1"/>
    </xf>
    <xf numFmtId="0" fontId="42" fillId="2" borderId="4" xfId="2" applyFont="1" applyFill="1" applyBorder="1" applyAlignment="1">
      <alignment horizontal="center" vertical="center" wrapText="1"/>
    </xf>
    <xf numFmtId="9" fontId="42" fillId="2" borderId="1" xfId="3" applyFont="1" applyFill="1" applyBorder="1" applyAlignment="1" applyProtection="1">
      <alignment horizontal="center" vertical="center" wrapText="1"/>
    </xf>
    <xf numFmtId="9" fontId="42" fillId="2" borderId="1" xfId="3" applyFont="1" applyFill="1" applyBorder="1" applyAlignment="1" applyProtection="1">
      <alignment horizontal="center" vertical="center"/>
    </xf>
    <xf numFmtId="166" fontId="42" fillId="2" borderId="2" xfId="4" applyFont="1" applyFill="1" applyBorder="1" applyAlignment="1" applyProtection="1">
      <alignment horizontal="center" vertical="center"/>
    </xf>
    <xf numFmtId="166" fontId="42" fillId="2" borderId="4" xfId="4" applyFont="1" applyFill="1" applyBorder="1" applyAlignment="1" applyProtection="1">
      <alignment horizontal="center" vertical="center"/>
    </xf>
    <xf numFmtId="166" fontId="63" fillId="2" borderId="12" xfId="4" applyFont="1" applyFill="1" applyBorder="1" applyAlignment="1" applyProtection="1">
      <alignment horizontal="center" vertical="center" wrapText="1"/>
    </xf>
    <xf numFmtId="166" fontId="63" fillId="2" borderId="13" xfId="4" applyFont="1" applyFill="1" applyBorder="1" applyAlignment="1" applyProtection="1">
      <alignment horizontal="center" vertical="center" wrapText="1"/>
    </xf>
    <xf numFmtId="0" fontId="63" fillId="2" borderId="2" xfId="2" applyFont="1" applyFill="1" applyBorder="1" applyAlignment="1">
      <alignment horizontal="center" vertical="center" wrapText="1"/>
    </xf>
    <xf numFmtId="0" fontId="63" fillId="2" borderId="4" xfId="2" applyFont="1" applyFill="1" applyBorder="1" applyAlignment="1">
      <alignment horizontal="center" vertical="center" wrapText="1"/>
    </xf>
    <xf numFmtId="9" fontId="63" fillId="2" borderId="2" xfId="3" applyFont="1" applyFill="1" applyBorder="1" applyAlignment="1" applyProtection="1">
      <alignment horizontal="center" vertical="center" wrapText="1"/>
    </xf>
    <xf numFmtId="9" fontId="63" fillId="2" borderId="4" xfId="3" applyFont="1" applyFill="1" applyBorder="1" applyAlignment="1" applyProtection="1">
      <alignment horizontal="center" vertical="center" wrapText="1"/>
    </xf>
  </cellXfs>
  <cellStyles count="10">
    <cellStyle name="Comma" xfId="8" builtinId="3"/>
    <cellStyle name="Comma 17" xfId="4" xr:uid="{00000000-0005-0000-0000-000001000000}"/>
    <cellStyle name="Comma 2" xfId="6" xr:uid="{00000000-0005-0000-0000-000002000000}"/>
    <cellStyle name="Currency" xfId="9" builtinId="4"/>
    <cellStyle name="Currency 2" xfId="7" xr:uid="{00000000-0005-0000-0000-000003000000}"/>
    <cellStyle name="Normal" xfId="0" builtinId="0"/>
    <cellStyle name="Normal_gare wyalsadfenigagarini 2_SMSH2008-IIkv ." xfId="2" xr:uid="{00000000-0005-0000-0000-000005000000}"/>
    <cellStyle name="Percent" xfId="1" builtinId="5"/>
    <cellStyle name="Percent 3" xfId="3" xr:uid="{00000000-0005-0000-0000-000007000000}"/>
    <cellStyle name="Обычный 4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17"/>
  <sheetViews>
    <sheetView tabSelected="1" view="pageBreakPreview" zoomScaleNormal="100" zoomScaleSheetLayoutView="100" workbookViewId="0">
      <selection activeCell="D20" sqref="D20"/>
    </sheetView>
  </sheetViews>
  <sheetFormatPr defaultColWidth="9.109375" defaultRowHeight="13.8"/>
  <cols>
    <col min="1" max="1" width="5.88671875" style="49" customWidth="1"/>
    <col min="2" max="2" width="55.44140625" style="7" customWidth="1"/>
    <col min="3" max="3" width="9.5546875" style="7" bestFit="1" customWidth="1"/>
    <col min="4" max="4" width="25.33203125" style="7" customWidth="1"/>
    <col min="5" max="16384" width="9.109375" style="7"/>
  </cols>
  <sheetData>
    <row r="2" spans="1:4" ht="18">
      <c r="A2" s="254" t="s">
        <v>124</v>
      </c>
      <c r="B2" s="254"/>
      <c r="C2" s="254"/>
      <c r="D2" s="254"/>
    </row>
    <row r="3" spans="1:4" s="46" customFormat="1" ht="15.6">
      <c r="A3" s="255" t="s">
        <v>82</v>
      </c>
      <c r="B3" s="255"/>
      <c r="C3" s="255"/>
      <c r="D3" s="255"/>
    </row>
    <row r="4" spans="1:4" s="46" customFormat="1">
      <c r="A4" s="256"/>
      <c r="B4" s="256"/>
      <c r="C4" s="256"/>
      <c r="D4" s="256"/>
    </row>
    <row r="5" spans="1:4" s="46" customFormat="1">
      <c r="A5" s="47"/>
      <c r="B5" s="47"/>
      <c r="C5" s="47"/>
    </row>
    <row r="6" spans="1:4" ht="16.2" thickBot="1">
      <c r="C6" s="48" t="s">
        <v>83</v>
      </c>
      <c r="D6" s="251">
        <v>2.74</v>
      </c>
    </row>
    <row r="7" spans="1:4">
      <c r="A7" s="257" t="s">
        <v>2</v>
      </c>
      <c r="B7" s="259" t="s">
        <v>84</v>
      </c>
      <c r="C7" s="50"/>
      <c r="D7" s="261" t="s">
        <v>85</v>
      </c>
    </row>
    <row r="8" spans="1:4">
      <c r="A8" s="258"/>
      <c r="B8" s="260"/>
      <c r="C8" s="51"/>
      <c r="D8" s="262"/>
    </row>
    <row r="9" spans="1:4">
      <c r="A9" s="52">
        <v>1</v>
      </c>
      <c r="B9" s="53" t="s">
        <v>86</v>
      </c>
      <c r="C9" s="54"/>
      <c r="D9" s="98">
        <f>მოსამზ.!K26</f>
        <v>0</v>
      </c>
    </row>
    <row r="10" spans="1:4">
      <c r="A10" s="52">
        <v>2</v>
      </c>
      <c r="B10" s="53" t="s">
        <v>95</v>
      </c>
      <c r="C10" s="54"/>
      <c r="D10" s="98">
        <f>კონსტრუქცია!K161</f>
        <v>0</v>
      </c>
    </row>
    <row r="11" spans="1:4">
      <c r="A11" s="52">
        <v>3</v>
      </c>
      <c r="B11" s="53" t="s">
        <v>94</v>
      </c>
      <c r="C11" s="54"/>
      <c r="D11" s="98">
        <f>არქიტექტურა!K148</f>
        <v>0</v>
      </c>
    </row>
    <row r="12" spans="1:4">
      <c r="A12" s="52">
        <v>4</v>
      </c>
      <c r="B12" s="53" t="s">
        <v>96</v>
      </c>
      <c r="C12" s="54"/>
      <c r="D12" s="98">
        <f>'გარე ტერიტორია'!K92</f>
        <v>0</v>
      </c>
    </row>
    <row r="13" spans="1:4" s="55" customFormat="1" ht="14.4">
      <c r="A13" s="1"/>
      <c r="B13" s="2" t="s">
        <v>34</v>
      </c>
      <c r="C13" s="3"/>
      <c r="D13" s="98">
        <f>SUM(D9:D12)</f>
        <v>0</v>
      </c>
    </row>
    <row r="14" spans="1:4" s="55" customFormat="1" ht="14.4">
      <c r="A14" s="217"/>
      <c r="B14" s="218" t="s">
        <v>108</v>
      </c>
      <c r="C14" s="219"/>
      <c r="D14" s="220">
        <f>D13*C14</f>
        <v>0</v>
      </c>
    </row>
    <row r="15" spans="1:4" s="55" customFormat="1" ht="14.4">
      <c r="A15" s="1"/>
      <c r="B15" s="2" t="s">
        <v>34</v>
      </c>
      <c r="C15" s="3"/>
      <c r="D15" s="99">
        <f>SUM(D13:D14)</f>
        <v>0</v>
      </c>
    </row>
    <row r="16" spans="1:4" s="55" customFormat="1" ht="14.4">
      <c r="A16" s="1"/>
      <c r="B16" s="2" t="s">
        <v>87</v>
      </c>
      <c r="C16" s="4"/>
      <c r="D16" s="99">
        <f>D15*C16</f>
        <v>0</v>
      </c>
    </row>
    <row r="17" spans="1:4" s="55" customFormat="1" ht="16.2" thickBot="1">
      <c r="A17" s="56"/>
      <c r="B17" s="57" t="s">
        <v>34</v>
      </c>
      <c r="C17" s="58"/>
      <c r="D17" s="100">
        <f>SUM(D15:D16)</f>
        <v>0</v>
      </c>
    </row>
  </sheetData>
  <mergeCells count="6">
    <mergeCell ref="A2:D2"/>
    <mergeCell ref="A3:D3"/>
    <mergeCell ref="A4:D4"/>
    <mergeCell ref="A7:A8"/>
    <mergeCell ref="B7:B8"/>
    <mergeCell ref="D7:D8"/>
  </mergeCells>
  <printOptions horizontalCentered="1"/>
  <pageMargins left="0" right="0" top="0.39370078740157483" bottom="0.3937007874015748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60903-2849-404E-B433-726B370AA749}">
  <sheetPr>
    <tabColor rgb="FF92D050"/>
    <pageSetUpPr fitToPage="1"/>
  </sheetPr>
  <dimension ref="A2:CJ26"/>
  <sheetViews>
    <sheetView view="pageBreakPreview" topLeftCell="A13" zoomScaleNormal="100" zoomScaleSheetLayoutView="100" workbookViewId="0">
      <selection activeCell="C25" sqref="C25"/>
    </sheetView>
  </sheetViews>
  <sheetFormatPr defaultRowHeight="14.4"/>
  <cols>
    <col min="1" max="1" width="3.109375" bestFit="1" customWidth="1"/>
    <col min="2" max="2" width="47.44140625" customWidth="1"/>
    <col min="3" max="3" width="9.88671875" bestFit="1" customWidth="1"/>
    <col min="4" max="4" width="14" customWidth="1"/>
    <col min="5" max="5" width="10.5546875" style="81" customWidth="1"/>
    <col min="6" max="6" width="13.44140625" style="81" customWidth="1"/>
    <col min="7" max="7" width="10.44140625" style="81" customWidth="1"/>
    <col min="8" max="8" width="11.88671875" style="81" bestFit="1" customWidth="1"/>
    <col min="9" max="9" width="9.88671875" style="81" bestFit="1" customWidth="1"/>
    <col min="10" max="10" width="11.88671875" style="81" bestFit="1" customWidth="1"/>
    <col min="11" max="11" width="13.109375" style="81" bestFit="1" customWidth="1"/>
    <col min="12" max="12" width="16.109375" bestFit="1" customWidth="1"/>
  </cols>
  <sheetData>
    <row r="2" spans="1:88" ht="18.600000000000001" customHeight="1">
      <c r="A2" s="264" t="str">
        <f>ჯამური!A2</f>
        <v>Wendy სანაპირო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88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88">
      <c r="A4" s="102" t="s">
        <v>96</v>
      </c>
      <c r="B4" s="102"/>
    </row>
    <row r="5" spans="1:88">
      <c r="A5" s="44" t="s">
        <v>79</v>
      </c>
      <c r="B5" s="45" t="s">
        <v>80</v>
      </c>
    </row>
    <row r="6" spans="1:88">
      <c r="A6" s="263" t="s">
        <v>188</v>
      </c>
      <c r="B6" s="263"/>
      <c r="G6" s="266" t="s">
        <v>1</v>
      </c>
      <c r="H6" s="266"/>
      <c r="I6" s="266"/>
      <c r="J6" s="267">
        <f>K26</f>
        <v>0</v>
      </c>
      <c r="K6" s="267"/>
    </row>
    <row r="7" spans="1:88" ht="15.6">
      <c r="A7" s="66"/>
      <c r="B7" s="67"/>
      <c r="C7" s="68"/>
      <c r="D7" s="68"/>
      <c r="E7" s="68"/>
      <c r="F7" s="68"/>
      <c r="G7" s="68"/>
      <c r="H7" s="68"/>
      <c r="I7" s="69"/>
      <c r="J7" s="250"/>
      <c r="K7" s="251">
        <f>ჯამური!D6</f>
        <v>2.74</v>
      </c>
    </row>
    <row r="8" spans="1:88" s="7" customFormat="1" ht="41.1" customHeight="1">
      <c r="A8" s="270" t="s">
        <v>2</v>
      </c>
      <c r="B8" s="271" t="s">
        <v>109</v>
      </c>
      <c r="C8" s="273" t="s">
        <v>110</v>
      </c>
      <c r="D8" s="275" t="s">
        <v>111</v>
      </c>
      <c r="E8" s="269" t="s">
        <v>6</v>
      </c>
      <c r="F8" s="269"/>
      <c r="G8" s="269" t="s">
        <v>7</v>
      </c>
      <c r="H8" s="269"/>
      <c r="I8" s="268" t="s">
        <v>8</v>
      </c>
      <c r="J8" s="268"/>
      <c r="K8" s="269" t="s">
        <v>9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</row>
    <row r="9" spans="1:88" s="7" customFormat="1" ht="36.6" customHeight="1">
      <c r="A9" s="270"/>
      <c r="B9" s="272"/>
      <c r="C9" s="274"/>
      <c r="D9" s="276"/>
      <c r="E9" s="71" t="s">
        <v>112</v>
      </c>
      <c r="F9" s="71" t="s">
        <v>113</v>
      </c>
      <c r="G9" s="71" t="s">
        <v>112</v>
      </c>
      <c r="H9" s="71" t="s">
        <v>113</v>
      </c>
      <c r="I9" s="71" t="s">
        <v>112</v>
      </c>
      <c r="J9" s="71" t="s">
        <v>113</v>
      </c>
      <c r="K9" s="269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</row>
    <row r="10" spans="1:88" s="7" customFormat="1">
      <c r="A10" s="63">
        <v>1</v>
      </c>
      <c r="B10" s="72">
        <v>2</v>
      </c>
      <c r="C10" s="73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</row>
    <row r="11" spans="1:88">
      <c r="A11" s="74"/>
      <c r="B11" s="74" t="s">
        <v>86</v>
      </c>
      <c r="C11" s="75"/>
      <c r="D11" s="76"/>
      <c r="E11" s="77"/>
      <c r="F11" s="77"/>
      <c r="G11" s="77"/>
      <c r="H11" s="78"/>
      <c r="I11" s="77"/>
      <c r="J11" s="77"/>
      <c r="K11" s="78"/>
      <c r="L11" s="96"/>
    </row>
    <row r="12" spans="1:88">
      <c r="A12" s="193">
        <v>1</v>
      </c>
      <c r="B12" s="193" t="s">
        <v>114</v>
      </c>
      <c r="C12" s="194" t="s">
        <v>29</v>
      </c>
      <c r="D12" s="195">
        <v>460</v>
      </c>
      <c r="E12" s="79"/>
      <c r="F12" s="139">
        <f>E12*D12</f>
        <v>0</v>
      </c>
      <c r="G12" s="79"/>
      <c r="H12" s="139">
        <f>G12*D12</f>
        <v>0</v>
      </c>
      <c r="I12" s="79"/>
      <c r="J12" s="139">
        <f>I12*D12</f>
        <v>0</v>
      </c>
      <c r="K12" s="139">
        <f>J12+H12+F12</f>
        <v>0</v>
      </c>
    </row>
    <row r="13" spans="1:88">
      <c r="A13" s="193">
        <f t="shared" ref="A13" si="0">A12+1</f>
        <v>2</v>
      </c>
      <c r="B13" s="193" t="s">
        <v>115</v>
      </c>
      <c r="C13" s="194" t="s">
        <v>20</v>
      </c>
      <c r="D13" s="195">
        <v>1</v>
      </c>
      <c r="E13" s="79"/>
      <c r="F13" s="139">
        <f t="shared" ref="F13:F17" si="1">E13*D13</f>
        <v>0</v>
      </c>
      <c r="G13" s="79"/>
      <c r="H13" s="139">
        <f t="shared" ref="H13:H17" si="2">G13*D13</f>
        <v>0</v>
      </c>
      <c r="I13" s="79"/>
      <c r="J13" s="139">
        <f t="shared" ref="J13:J17" si="3">I13*D13</f>
        <v>0</v>
      </c>
      <c r="K13" s="139">
        <f t="shared" ref="K13:K17" si="4">J13+H13+F13</f>
        <v>0</v>
      </c>
    </row>
    <row r="14" spans="1:88">
      <c r="A14" s="193">
        <v>3</v>
      </c>
      <c r="B14" s="193" t="s">
        <v>116</v>
      </c>
      <c r="C14" s="194" t="s">
        <v>81</v>
      </c>
      <c r="D14" s="195">
        <v>5</v>
      </c>
      <c r="E14" s="79"/>
      <c r="F14" s="139">
        <f t="shared" si="1"/>
        <v>0</v>
      </c>
      <c r="G14" s="79"/>
      <c r="H14" s="139">
        <f t="shared" si="2"/>
        <v>0</v>
      </c>
      <c r="I14" s="79"/>
      <c r="J14" s="139">
        <f t="shared" si="3"/>
        <v>0</v>
      </c>
      <c r="K14" s="139">
        <f t="shared" si="4"/>
        <v>0</v>
      </c>
    </row>
    <row r="15" spans="1:88">
      <c r="A15" s="193">
        <v>4</v>
      </c>
      <c r="B15" s="193" t="s">
        <v>167</v>
      </c>
      <c r="C15" s="194" t="s">
        <v>81</v>
      </c>
      <c r="D15" s="195">
        <v>5</v>
      </c>
      <c r="E15" s="79"/>
      <c r="F15" s="139">
        <f t="shared" si="1"/>
        <v>0</v>
      </c>
      <c r="G15" s="79"/>
      <c r="H15" s="139">
        <f t="shared" si="2"/>
        <v>0</v>
      </c>
      <c r="I15" s="79"/>
      <c r="J15" s="139">
        <f t="shared" si="3"/>
        <v>0</v>
      </c>
      <c r="K15" s="139">
        <f t="shared" si="4"/>
        <v>0</v>
      </c>
    </row>
    <row r="16" spans="1:88">
      <c r="A16" s="193">
        <v>5</v>
      </c>
      <c r="B16" s="193" t="s">
        <v>117</v>
      </c>
      <c r="C16" s="194" t="s">
        <v>81</v>
      </c>
      <c r="D16" s="195">
        <v>5</v>
      </c>
      <c r="E16" s="79"/>
      <c r="F16" s="139">
        <f t="shared" si="1"/>
        <v>0</v>
      </c>
      <c r="G16" s="79"/>
      <c r="H16" s="139">
        <f t="shared" si="2"/>
        <v>0</v>
      </c>
      <c r="I16" s="79"/>
      <c r="J16" s="139">
        <f t="shared" si="3"/>
        <v>0</v>
      </c>
      <c r="K16" s="139">
        <f t="shared" si="4"/>
        <v>0</v>
      </c>
    </row>
    <row r="17" spans="1:11">
      <c r="A17" s="193">
        <v>6</v>
      </c>
      <c r="B17" s="193" t="s">
        <v>118</v>
      </c>
      <c r="C17" s="194" t="s">
        <v>81</v>
      </c>
      <c r="D17" s="195">
        <v>5</v>
      </c>
      <c r="E17" s="79"/>
      <c r="F17" s="139">
        <f t="shared" si="1"/>
        <v>0</v>
      </c>
      <c r="G17" s="79"/>
      <c r="H17" s="139">
        <f t="shared" si="2"/>
        <v>0</v>
      </c>
      <c r="I17" s="79"/>
      <c r="J17" s="139">
        <f t="shared" si="3"/>
        <v>0</v>
      </c>
      <c r="K17" s="139">
        <f t="shared" si="4"/>
        <v>0</v>
      </c>
    </row>
    <row r="18" spans="1:11" s="55" customFormat="1">
      <c r="A18" s="82"/>
      <c r="B18" s="87" t="s">
        <v>34</v>
      </c>
      <c r="C18" s="84"/>
      <c r="D18" s="85"/>
      <c r="E18" s="86"/>
      <c r="F18" s="252">
        <f>SUM(F12:F17)</f>
        <v>0</v>
      </c>
      <c r="G18" s="252"/>
      <c r="H18" s="252">
        <f t="shared" ref="H18:K18" si="5">SUM(H12:H17)</f>
        <v>0</v>
      </c>
      <c r="I18" s="252"/>
      <c r="J18" s="252">
        <f t="shared" si="5"/>
        <v>0</v>
      </c>
      <c r="K18" s="252">
        <f t="shared" si="5"/>
        <v>0</v>
      </c>
    </row>
    <row r="19" spans="1:11" s="80" customFormat="1">
      <c r="A19" s="35"/>
      <c r="B19" s="36" t="s">
        <v>35</v>
      </c>
      <c r="C19" s="37"/>
      <c r="D19" s="31"/>
      <c r="E19" s="62"/>
      <c r="F19" s="253"/>
      <c r="G19" s="253"/>
      <c r="H19" s="253"/>
      <c r="I19" s="253"/>
      <c r="J19" s="253"/>
      <c r="K19" s="253">
        <f>F18*C19</f>
        <v>0</v>
      </c>
    </row>
    <row r="20" spans="1:11" s="80" customFormat="1">
      <c r="A20" s="35"/>
      <c r="B20" s="29" t="s">
        <v>34</v>
      </c>
      <c r="C20" s="38"/>
      <c r="D20" s="31"/>
      <c r="E20" s="62"/>
      <c r="F20" s="253"/>
      <c r="G20" s="253"/>
      <c r="H20" s="253"/>
      <c r="I20" s="253"/>
      <c r="J20" s="253"/>
      <c r="K20" s="253">
        <f>SUM(K18:K19)</f>
        <v>0</v>
      </c>
    </row>
    <row r="21" spans="1:11" s="80" customFormat="1">
      <c r="A21" s="35"/>
      <c r="B21" s="29" t="s">
        <v>36</v>
      </c>
      <c r="C21" s="39"/>
      <c r="D21" s="31"/>
      <c r="E21" s="62"/>
      <c r="F21" s="253"/>
      <c r="G21" s="253"/>
      <c r="H21" s="253"/>
      <c r="I21" s="253"/>
      <c r="J21" s="253"/>
      <c r="K21" s="253">
        <f>K20*C21</f>
        <v>0</v>
      </c>
    </row>
    <row r="22" spans="1:11" s="80" customFormat="1">
      <c r="A22" s="35"/>
      <c r="B22" s="29" t="s">
        <v>34</v>
      </c>
      <c r="C22" s="38"/>
      <c r="D22" s="31"/>
      <c r="E22" s="62"/>
      <c r="F22" s="253"/>
      <c r="G22" s="253"/>
      <c r="H22" s="253"/>
      <c r="I22" s="253"/>
      <c r="J22" s="253"/>
      <c r="K22" s="253">
        <f>SUM(K20:K21)</f>
        <v>0</v>
      </c>
    </row>
    <row r="23" spans="1:11" s="80" customFormat="1">
      <c r="A23" s="35"/>
      <c r="B23" s="29" t="s">
        <v>37</v>
      </c>
      <c r="C23" s="40"/>
      <c r="D23" s="31"/>
      <c r="E23" s="62"/>
      <c r="F23" s="253"/>
      <c r="G23" s="253"/>
      <c r="H23" s="253"/>
      <c r="I23" s="253"/>
      <c r="J23" s="253"/>
      <c r="K23" s="253">
        <f>K22*C23</f>
        <v>0</v>
      </c>
    </row>
    <row r="24" spans="1:11">
      <c r="A24" s="35"/>
      <c r="B24" s="29" t="s">
        <v>34</v>
      </c>
      <c r="C24" s="38"/>
      <c r="D24" s="31"/>
      <c r="E24" s="62"/>
      <c r="F24" s="253"/>
      <c r="G24" s="253"/>
      <c r="H24" s="253"/>
      <c r="I24" s="253"/>
      <c r="J24" s="253"/>
      <c r="K24" s="253">
        <f>SUM(K22:K23)</f>
        <v>0</v>
      </c>
    </row>
    <row r="25" spans="1:11">
      <c r="A25" s="35"/>
      <c r="B25" s="29" t="s">
        <v>38</v>
      </c>
      <c r="C25" s="41"/>
      <c r="D25" s="31"/>
      <c r="E25" s="62"/>
      <c r="F25" s="253"/>
      <c r="G25" s="253"/>
      <c r="H25" s="253"/>
      <c r="I25" s="253"/>
      <c r="J25" s="253"/>
      <c r="K25" s="253">
        <f>K24*C25</f>
        <v>0</v>
      </c>
    </row>
    <row r="26" spans="1:11">
      <c r="A26" s="82"/>
      <c r="B26" s="83" t="s">
        <v>34</v>
      </c>
      <c r="C26" s="84"/>
      <c r="D26" s="85"/>
      <c r="E26" s="86"/>
      <c r="F26" s="252"/>
      <c r="G26" s="252"/>
      <c r="H26" s="252"/>
      <c r="I26" s="252"/>
      <c r="J26" s="252"/>
      <c r="K26" s="252">
        <f>SUM(K24:K25)</f>
        <v>0</v>
      </c>
    </row>
  </sheetData>
  <mergeCells count="13">
    <mergeCell ref="I8:J8"/>
    <mergeCell ref="K8:K9"/>
    <mergeCell ref="A8:A9"/>
    <mergeCell ref="B8:B9"/>
    <mergeCell ref="C8:C9"/>
    <mergeCell ref="D8:D9"/>
    <mergeCell ref="E8:F8"/>
    <mergeCell ref="G8:H8"/>
    <mergeCell ref="A6:B6"/>
    <mergeCell ref="A2:K2"/>
    <mergeCell ref="A3:K3"/>
    <mergeCell ref="G6:I6"/>
    <mergeCell ref="J6:K6"/>
  </mergeCells>
  <printOptions horizontalCentered="1"/>
  <pageMargins left="0" right="0" top="0.39370078740157483" bottom="0.39370078740157483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F206-55C3-4509-ACA4-B4A22EAD652C}">
  <sheetPr>
    <tabColor rgb="FF92D050"/>
    <pageSetUpPr fitToPage="1"/>
  </sheetPr>
  <dimension ref="A2:L169"/>
  <sheetViews>
    <sheetView view="pageBreakPreview" topLeftCell="A148" zoomScale="115" zoomScaleNormal="100" zoomScaleSheetLayoutView="115" workbookViewId="0">
      <selection activeCell="C160" sqref="C160"/>
    </sheetView>
  </sheetViews>
  <sheetFormatPr defaultColWidth="9.109375" defaultRowHeight="14.4"/>
  <cols>
    <col min="1" max="1" width="4.6640625" style="164" customWidth="1"/>
    <col min="2" max="2" width="52.21875" style="164" customWidth="1"/>
    <col min="3" max="3" width="8.33203125" style="164" customWidth="1"/>
    <col min="4" max="4" width="11" style="179" customWidth="1"/>
    <col min="5" max="5" width="10" style="164" customWidth="1"/>
    <col min="6" max="6" width="14.88671875" style="164" customWidth="1"/>
    <col min="7" max="7" width="10" style="164" customWidth="1"/>
    <col min="8" max="8" width="13.5546875" style="164" customWidth="1"/>
    <col min="9" max="9" width="9.109375" style="164" customWidth="1"/>
    <col min="10" max="10" width="14.44140625" style="164" customWidth="1"/>
    <col min="11" max="11" width="15.109375" style="164" customWidth="1"/>
    <col min="12" max="16384" width="9.109375" style="164"/>
  </cols>
  <sheetData>
    <row r="2" spans="1:12" s="118" customFormat="1" ht="14.4" customHeight="1">
      <c r="A2" s="264" t="str">
        <f>ჯამური!A2</f>
        <v>Wendy სანაპირო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2" s="118" customFormat="1" ht="15.75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2" s="118" customFormat="1" ht="17.25" customHeight="1">
      <c r="A4" s="102" t="s">
        <v>96</v>
      </c>
      <c r="B4" s="102"/>
      <c r="C4" s="119"/>
      <c r="D4" s="119"/>
      <c r="E4" s="119"/>
      <c r="F4" s="119"/>
      <c r="G4" s="119"/>
      <c r="H4" s="119"/>
      <c r="I4" s="119"/>
      <c r="J4" s="119"/>
      <c r="K4" s="119"/>
    </row>
    <row r="5" spans="1:12" s="118" customFormat="1">
      <c r="A5" s="44" t="s">
        <v>79</v>
      </c>
      <c r="B5" s="45" t="s">
        <v>80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2" s="124" customFormat="1" ht="13.8">
      <c r="A6" s="263" t="s">
        <v>188</v>
      </c>
      <c r="B6" s="263"/>
      <c r="C6" s="121"/>
      <c r="D6" s="121"/>
      <c r="E6" s="121"/>
      <c r="F6" s="121"/>
      <c r="G6" s="122" t="s">
        <v>1</v>
      </c>
      <c r="H6" s="122"/>
      <c r="I6" s="122"/>
      <c r="J6" s="123">
        <f>K161</f>
        <v>0</v>
      </c>
      <c r="K6" s="123"/>
    </row>
    <row r="7" spans="1:12" s="118" customFormat="1" ht="15.6">
      <c r="A7" s="120"/>
      <c r="B7" s="120"/>
      <c r="C7" s="120"/>
      <c r="D7" s="120"/>
      <c r="E7" s="120"/>
      <c r="F7" s="120"/>
      <c r="G7" s="125"/>
      <c r="H7" s="125"/>
      <c r="I7" s="125"/>
      <c r="J7" s="69"/>
      <c r="K7" s="251">
        <f>ჯამური!D6</f>
        <v>2.74</v>
      </c>
      <c r="L7" s="250"/>
    </row>
    <row r="8" spans="1:12" s="126" customFormat="1" ht="16.2">
      <c r="A8" s="279" t="s">
        <v>132</v>
      </c>
      <c r="B8" s="279" t="s">
        <v>3</v>
      </c>
      <c r="C8" s="281" t="s">
        <v>4</v>
      </c>
      <c r="D8" s="230" t="s">
        <v>5</v>
      </c>
      <c r="E8" s="277" t="s">
        <v>6</v>
      </c>
      <c r="F8" s="278"/>
      <c r="G8" s="277" t="s">
        <v>7</v>
      </c>
      <c r="H8" s="278"/>
      <c r="I8" s="277" t="s">
        <v>8</v>
      </c>
      <c r="J8" s="278"/>
      <c r="K8" s="231" t="s">
        <v>9</v>
      </c>
    </row>
    <row r="9" spans="1:12" s="126" customFormat="1" ht="28.8">
      <c r="A9" s="280"/>
      <c r="B9" s="280"/>
      <c r="C9" s="282"/>
      <c r="D9" s="232"/>
      <c r="E9" s="230" t="s">
        <v>112</v>
      </c>
      <c r="F9" s="231" t="s">
        <v>5</v>
      </c>
      <c r="G9" s="230" t="s">
        <v>112</v>
      </c>
      <c r="H9" s="231" t="s">
        <v>5</v>
      </c>
      <c r="I9" s="230" t="s">
        <v>112</v>
      </c>
      <c r="J9" s="231" t="s">
        <v>5</v>
      </c>
      <c r="K9" s="231"/>
    </row>
    <row r="10" spans="1:12" s="130" customFormat="1" ht="25.2" customHeight="1">
      <c r="A10" s="127"/>
      <c r="B10" s="127" t="s">
        <v>44</v>
      </c>
      <c r="C10" s="127"/>
      <c r="D10" s="128"/>
      <c r="E10" s="129"/>
      <c r="F10" s="129"/>
      <c r="G10" s="129"/>
      <c r="H10" s="129"/>
      <c r="I10" s="129"/>
      <c r="J10" s="129"/>
      <c r="K10" s="129"/>
    </row>
    <row r="11" spans="1:12" s="130" customFormat="1" ht="22.8" customHeight="1">
      <c r="A11" s="131">
        <v>1</v>
      </c>
      <c r="B11" s="196" t="s">
        <v>10</v>
      </c>
      <c r="C11" s="131" t="s">
        <v>11</v>
      </c>
      <c r="D11" s="221">
        <f>250*3</f>
        <v>750</v>
      </c>
      <c r="E11" s="139"/>
      <c r="F11" s="139"/>
      <c r="G11" s="139"/>
      <c r="H11" s="139"/>
      <c r="I11" s="139"/>
      <c r="J11" s="139"/>
      <c r="K11" s="139"/>
    </row>
    <row r="12" spans="1:12" s="141" customFormat="1" ht="13.8">
      <c r="A12" s="131"/>
      <c r="B12" s="136" t="s">
        <v>12</v>
      </c>
      <c r="C12" s="137" t="s">
        <v>11</v>
      </c>
      <c r="D12" s="222">
        <f>D11</f>
        <v>750</v>
      </c>
      <c r="E12" s="138"/>
      <c r="F12" s="139">
        <f t="shared" ref="F12:F65" si="0">E12*D12</f>
        <v>0</v>
      </c>
      <c r="G12" s="138"/>
      <c r="H12" s="139">
        <f t="shared" ref="H12:H65" si="1">G12*D12</f>
        <v>0</v>
      </c>
      <c r="I12" s="138"/>
      <c r="J12" s="139">
        <f t="shared" ref="J12:J65" si="2">I12*D12</f>
        <v>0</v>
      </c>
      <c r="K12" s="139">
        <f t="shared" ref="K12:K65" si="3">J12+H12+F12</f>
        <v>0</v>
      </c>
    </row>
    <row r="13" spans="1:12" s="141" customFormat="1" ht="13.8">
      <c r="A13" s="131">
        <f>A11+1</f>
        <v>2</v>
      </c>
      <c r="B13" s="196" t="s">
        <v>14</v>
      </c>
      <c r="C13" s="131" t="s">
        <v>11</v>
      </c>
      <c r="D13" s="223">
        <f>D11*5%</f>
        <v>37.5</v>
      </c>
      <c r="E13" s="138"/>
      <c r="F13" s="139"/>
      <c r="G13" s="138"/>
      <c r="H13" s="139"/>
      <c r="I13" s="138"/>
      <c r="J13" s="139"/>
      <c r="K13" s="139"/>
    </row>
    <row r="14" spans="1:12" s="141" customFormat="1" ht="13.8">
      <c r="A14" s="131"/>
      <c r="B14" s="136" t="s">
        <v>15</v>
      </c>
      <c r="C14" s="137" t="s">
        <v>11</v>
      </c>
      <c r="D14" s="222">
        <f>D13</f>
        <v>37.5</v>
      </c>
      <c r="E14" s="138"/>
      <c r="F14" s="139">
        <f t="shared" si="0"/>
        <v>0</v>
      </c>
      <c r="G14" s="138"/>
      <c r="H14" s="139">
        <f t="shared" si="1"/>
        <v>0</v>
      </c>
      <c r="I14" s="138"/>
      <c r="J14" s="139">
        <f t="shared" si="2"/>
        <v>0</v>
      </c>
      <c r="K14" s="139">
        <f t="shared" si="3"/>
        <v>0</v>
      </c>
    </row>
    <row r="15" spans="1:12" s="141" customFormat="1" ht="13.8">
      <c r="A15" s="131">
        <f>A13+1</f>
        <v>3</v>
      </c>
      <c r="B15" s="132" t="s">
        <v>13</v>
      </c>
      <c r="C15" s="133" t="s">
        <v>11</v>
      </c>
      <c r="D15" s="134">
        <f>D11+D13</f>
        <v>787.5</v>
      </c>
      <c r="E15" s="135"/>
      <c r="F15" s="135">
        <f t="shared" si="0"/>
        <v>0</v>
      </c>
      <c r="G15" s="135"/>
      <c r="H15" s="135">
        <f t="shared" si="1"/>
        <v>0</v>
      </c>
      <c r="I15" s="135"/>
      <c r="J15" s="135">
        <f t="shared" si="2"/>
        <v>0</v>
      </c>
      <c r="K15" s="135">
        <f t="shared" si="3"/>
        <v>0</v>
      </c>
    </row>
    <row r="16" spans="1:12" s="143" customFormat="1" ht="13.8">
      <c r="A16" s="131">
        <v>4</v>
      </c>
      <c r="B16" s="132" t="s">
        <v>178</v>
      </c>
      <c r="C16" s="133" t="s">
        <v>11</v>
      </c>
      <c r="D16" s="134">
        <f>250*3</f>
        <v>750</v>
      </c>
      <c r="E16" s="135"/>
      <c r="F16" s="135"/>
      <c r="G16" s="135"/>
      <c r="H16" s="135"/>
      <c r="I16" s="135"/>
      <c r="J16" s="135"/>
      <c r="K16" s="135"/>
    </row>
    <row r="17" spans="1:11" s="144" customFormat="1" ht="13.8">
      <c r="A17" s="131"/>
      <c r="B17" s="136" t="s">
        <v>15</v>
      </c>
      <c r="C17" s="137" t="s">
        <v>11</v>
      </c>
      <c r="D17" s="222">
        <f>D16</f>
        <v>750</v>
      </c>
      <c r="E17" s="138"/>
      <c r="F17" s="139">
        <f t="shared" si="0"/>
        <v>0</v>
      </c>
      <c r="G17" s="138"/>
      <c r="H17" s="139">
        <f t="shared" si="1"/>
        <v>0</v>
      </c>
      <c r="I17" s="138"/>
      <c r="J17" s="139">
        <f t="shared" si="2"/>
        <v>0</v>
      </c>
      <c r="K17" s="140">
        <f t="shared" si="3"/>
        <v>0</v>
      </c>
    </row>
    <row r="18" spans="1:11" s="144" customFormat="1" ht="13.8">
      <c r="A18" s="131"/>
      <c r="B18" s="136" t="s">
        <v>8</v>
      </c>
      <c r="C18" s="137" t="s">
        <v>11</v>
      </c>
      <c r="D18" s="222">
        <f>D16</f>
        <v>750</v>
      </c>
      <c r="E18" s="138"/>
      <c r="F18" s="139">
        <f t="shared" si="0"/>
        <v>0</v>
      </c>
      <c r="G18" s="138"/>
      <c r="H18" s="139">
        <f t="shared" si="1"/>
        <v>0</v>
      </c>
      <c r="I18" s="138"/>
      <c r="J18" s="139">
        <f t="shared" si="2"/>
        <v>0</v>
      </c>
      <c r="K18" s="140">
        <f t="shared" si="3"/>
        <v>0</v>
      </c>
    </row>
    <row r="19" spans="1:11" s="144" customFormat="1" ht="13.8">
      <c r="A19" s="131"/>
      <c r="B19" s="136" t="s">
        <v>16</v>
      </c>
      <c r="C19" s="137"/>
      <c r="D19" s="222"/>
      <c r="E19" s="138"/>
      <c r="F19" s="139"/>
      <c r="G19" s="138"/>
      <c r="H19" s="139"/>
      <c r="I19" s="138"/>
      <c r="J19" s="139"/>
      <c r="K19" s="140"/>
    </row>
    <row r="20" spans="1:11" s="144" customFormat="1" ht="13.8">
      <c r="A20" s="131"/>
      <c r="B20" s="136" t="s">
        <v>39</v>
      </c>
      <c r="C20" s="137" t="s">
        <v>11</v>
      </c>
      <c r="D20" s="222">
        <f>D16*1.22</f>
        <v>915</v>
      </c>
      <c r="E20" s="138"/>
      <c r="F20" s="139">
        <f t="shared" si="0"/>
        <v>0</v>
      </c>
      <c r="G20" s="138"/>
      <c r="H20" s="139">
        <f t="shared" si="1"/>
        <v>0</v>
      </c>
      <c r="I20" s="138"/>
      <c r="J20" s="139">
        <f t="shared" si="2"/>
        <v>0</v>
      </c>
      <c r="K20" s="140">
        <f t="shared" si="3"/>
        <v>0</v>
      </c>
    </row>
    <row r="21" spans="1:11" s="143" customFormat="1" ht="13.8">
      <c r="A21" s="131">
        <v>4</v>
      </c>
      <c r="B21" s="132" t="s">
        <v>178</v>
      </c>
      <c r="C21" s="133" t="s">
        <v>11</v>
      </c>
      <c r="D21" s="134">
        <f>250*0.4</f>
        <v>100</v>
      </c>
      <c r="E21" s="135"/>
      <c r="F21" s="135"/>
      <c r="G21" s="135"/>
      <c r="H21" s="135"/>
      <c r="I21" s="135"/>
      <c r="J21" s="135"/>
      <c r="K21" s="135"/>
    </row>
    <row r="22" spans="1:11" s="144" customFormat="1" ht="13.8">
      <c r="A22" s="131"/>
      <c r="B22" s="136" t="s">
        <v>15</v>
      </c>
      <c r="C22" s="137" t="s">
        <v>11</v>
      </c>
      <c r="D22" s="222">
        <f>D21</f>
        <v>100</v>
      </c>
      <c r="E22" s="138"/>
      <c r="F22" s="139">
        <f t="shared" ref="F22:F23" si="4">E22*D22</f>
        <v>0</v>
      </c>
      <c r="G22" s="138"/>
      <c r="H22" s="139">
        <f t="shared" ref="H22:H23" si="5">G22*D22</f>
        <v>0</v>
      </c>
      <c r="I22" s="138"/>
      <c r="J22" s="139">
        <f t="shared" ref="J22:J23" si="6">I22*D22</f>
        <v>0</v>
      </c>
      <c r="K22" s="140">
        <f t="shared" ref="K22:K23" si="7">J22+H22+F22</f>
        <v>0</v>
      </c>
    </row>
    <row r="23" spans="1:11" s="144" customFormat="1" ht="13.8">
      <c r="A23" s="131"/>
      <c r="B23" s="136" t="s">
        <v>8</v>
      </c>
      <c r="C23" s="137" t="s">
        <v>11</v>
      </c>
      <c r="D23" s="222">
        <f>D21</f>
        <v>100</v>
      </c>
      <c r="E23" s="138"/>
      <c r="F23" s="139">
        <f t="shared" si="4"/>
        <v>0</v>
      </c>
      <c r="G23" s="138"/>
      <c r="H23" s="139">
        <f t="shared" si="5"/>
        <v>0</v>
      </c>
      <c r="I23" s="138"/>
      <c r="J23" s="139">
        <f t="shared" si="6"/>
        <v>0</v>
      </c>
      <c r="K23" s="140">
        <f t="shared" si="7"/>
        <v>0</v>
      </c>
    </row>
    <row r="24" spans="1:11" s="144" customFormat="1" ht="13.8">
      <c r="A24" s="131"/>
      <c r="B24" s="136" t="s">
        <v>16</v>
      </c>
      <c r="C24" s="137"/>
      <c r="D24" s="222"/>
      <c r="E24" s="138"/>
      <c r="F24" s="139"/>
      <c r="G24" s="138"/>
      <c r="H24" s="139"/>
      <c r="I24" s="138"/>
      <c r="J24" s="139"/>
      <c r="K24" s="140"/>
    </row>
    <row r="25" spans="1:11" s="144" customFormat="1" ht="13.8">
      <c r="A25" s="131"/>
      <c r="B25" s="136" t="s">
        <v>168</v>
      </c>
      <c r="C25" s="137" t="s">
        <v>11</v>
      </c>
      <c r="D25" s="222">
        <f>D21*1.22</f>
        <v>122</v>
      </c>
      <c r="E25" s="138"/>
      <c r="F25" s="139">
        <f t="shared" ref="F25" si="8">E25*D25</f>
        <v>0</v>
      </c>
      <c r="G25" s="138"/>
      <c r="H25" s="139">
        <f t="shared" ref="H25" si="9">G25*D25</f>
        <v>0</v>
      </c>
      <c r="I25" s="138"/>
      <c r="J25" s="139">
        <f t="shared" ref="J25" si="10">I25*D25</f>
        <v>0</v>
      </c>
      <c r="K25" s="140">
        <f t="shared" ref="K25" si="11">J25+H25+F25</f>
        <v>0</v>
      </c>
    </row>
    <row r="26" spans="1:11" s="130" customFormat="1" ht="19.2" customHeight="1">
      <c r="A26" s="131">
        <f>A16+1</f>
        <v>5</v>
      </c>
      <c r="B26" s="132" t="s">
        <v>18</v>
      </c>
      <c r="C26" s="133" t="s">
        <v>11</v>
      </c>
      <c r="D26" s="134">
        <v>27.5</v>
      </c>
      <c r="E26" s="135"/>
      <c r="F26" s="135"/>
      <c r="G26" s="135"/>
      <c r="H26" s="135"/>
      <c r="I26" s="135"/>
      <c r="J26" s="135"/>
      <c r="K26" s="135"/>
    </row>
    <row r="27" spans="1:11" s="141" customFormat="1" ht="13.8">
      <c r="A27" s="131"/>
      <c r="B27" s="136" t="s">
        <v>15</v>
      </c>
      <c r="C27" s="137" t="s">
        <v>11</v>
      </c>
      <c r="D27" s="222">
        <f>D26</f>
        <v>27.5</v>
      </c>
      <c r="E27" s="138"/>
      <c r="F27" s="139">
        <f t="shared" si="0"/>
        <v>0</v>
      </c>
      <c r="G27" s="138"/>
      <c r="H27" s="139">
        <f t="shared" si="1"/>
        <v>0</v>
      </c>
      <c r="I27" s="138"/>
      <c r="J27" s="139">
        <f t="shared" si="2"/>
        <v>0</v>
      </c>
      <c r="K27" s="140">
        <f t="shared" si="3"/>
        <v>0</v>
      </c>
    </row>
    <row r="28" spans="1:11" s="141" customFormat="1" ht="13.8">
      <c r="A28" s="131"/>
      <c r="B28" s="136" t="s">
        <v>19</v>
      </c>
      <c r="C28" s="145" t="s">
        <v>20</v>
      </c>
      <c r="D28" s="222">
        <f>D26</f>
        <v>27.5</v>
      </c>
      <c r="E28" s="138"/>
      <c r="F28" s="139">
        <f t="shared" si="0"/>
        <v>0</v>
      </c>
      <c r="G28" s="138"/>
      <c r="H28" s="139">
        <f t="shared" si="1"/>
        <v>0</v>
      </c>
      <c r="I28" s="138"/>
      <c r="J28" s="139">
        <f t="shared" si="2"/>
        <v>0</v>
      </c>
      <c r="K28" s="140">
        <f t="shared" si="3"/>
        <v>0</v>
      </c>
    </row>
    <row r="29" spans="1:11" s="141" customFormat="1" ht="13.8">
      <c r="A29" s="131"/>
      <c r="B29" s="136" t="s">
        <v>16</v>
      </c>
      <c r="C29" s="145"/>
      <c r="D29" s="222"/>
      <c r="E29" s="138"/>
      <c r="F29" s="139"/>
      <c r="G29" s="138"/>
      <c r="H29" s="139"/>
      <c r="I29" s="138"/>
      <c r="J29" s="139"/>
      <c r="K29" s="140"/>
    </row>
    <row r="30" spans="1:11" s="141" customFormat="1" ht="13.8">
      <c r="A30" s="131"/>
      <c r="B30" s="136" t="s">
        <v>125</v>
      </c>
      <c r="C30" s="137" t="s">
        <v>11</v>
      </c>
      <c r="D30" s="222">
        <f>D26*1.02</f>
        <v>28.05</v>
      </c>
      <c r="E30" s="138"/>
      <c r="F30" s="139">
        <f t="shared" si="0"/>
        <v>0</v>
      </c>
      <c r="G30" s="138"/>
      <c r="H30" s="139">
        <f t="shared" si="1"/>
        <v>0</v>
      </c>
      <c r="I30" s="138"/>
      <c r="J30" s="139">
        <f t="shared" si="2"/>
        <v>0</v>
      </c>
      <c r="K30" s="140">
        <f t="shared" si="3"/>
        <v>0</v>
      </c>
    </row>
    <row r="31" spans="1:11" s="141" customFormat="1" ht="13.8">
      <c r="A31" s="131"/>
      <c r="B31" s="136" t="s">
        <v>21</v>
      </c>
      <c r="C31" s="145" t="s">
        <v>20</v>
      </c>
      <c r="D31" s="222">
        <f>D26</f>
        <v>27.5</v>
      </c>
      <c r="E31" s="138"/>
      <c r="F31" s="139">
        <f t="shared" si="0"/>
        <v>0</v>
      </c>
      <c r="G31" s="138"/>
      <c r="H31" s="139">
        <f t="shared" si="1"/>
        <v>0</v>
      </c>
      <c r="I31" s="138"/>
      <c r="J31" s="139">
        <f t="shared" si="2"/>
        <v>0</v>
      </c>
      <c r="K31" s="140">
        <f t="shared" si="3"/>
        <v>0</v>
      </c>
    </row>
    <row r="32" spans="1:11" s="130" customFormat="1" ht="27.6">
      <c r="A32" s="131">
        <f>A26+1</f>
        <v>6</v>
      </c>
      <c r="B32" s="132" t="s">
        <v>126</v>
      </c>
      <c r="C32" s="133" t="s">
        <v>11</v>
      </c>
      <c r="D32" s="134">
        <v>100</v>
      </c>
      <c r="E32" s="135"/>
      <c r="F32" s="135"/>
      <c r="G32" s="135"/>
      <c r="H32" s="135"/>
      <c r="I32" s="135"/>
      <c r="J32" s="135"/>
      <c r="K32" s="135"/>
    </row>
    <row r="33" spans="1:11" s="141" customFormat="1" ht="13.8">
      <c r="A33" s="131"/>
      <c r="B33" s="146" t="s">
        <v>150</v>
      </c>
      <c r="C33" s="137" t="s">
        <v>11</v>
      </c>
      <c r="D33" s="222">
        <f>D32</f>
        <v>100</v>
      </c>
      <c r="E33" s="138"/>
      <c r="F33" s="139">
        <f t="shared" si="0"/>
        <v>0</v>
      </c>
      <c r="G33" s="138"/>
      <c r="H33" s="139">
        <f t="shared" si="1"/>
        <v>0</v>
      </c>
      <c r="I33" s="138"/>
      <c r="J33" s="139">
        <f t="shared" si="2"/>
        <v>0</v>
      </c>
      <c r="K33" s="140">
        <f t="shared" si="3"/>
        <v>0</v>
      </c>
    </row>
    <row r="34" spans="1:11" s="141" customFormat="1" ht="13.8">
      <c r="A34" s="131"/>
      <c r="B34" s="136" t="s">
        <v>19</v>
      </c>
      <c r="C34" s="145" t="s">
        <v>20</v>
      </c>
      <c r="D34" s="222">
        <f>D32</f>
        <v>100</v>
      </c>
      <c r="E34" s="138"/>
      <c r="F34" s="139">
        <f t="shared" si="0"/>
        <v>0</v>
      </c>
      <c r="G34" s="138"/>
      <c r="H34" s="139">
        <f t="shared" si="1"/>
        <v>0</v>
      </c>
      <c r="I34" s="138"/>
      <c r="J34" s="139">
        <f t="shared" si="2"/>
        <v>0</v>
      </c>
      <c r="K34" s="140">
        <f t="shared" si="3"/>
        <v>0</v>
      </c>
    </row>
    <row r="35" spans="1:11" s="141" customFormat="1" ht="13.8">
      <c r="A35" s="131"/>
      <c r="B35" s="136" t="s">
        <v>16</v>
      </c>
      <c r="C35" s="145"/>
      <c r="D35" s="222"/>
      <c r="E35" s="138"/>
      <c r="F35" s="139"/>
      <c r="G35" s="138"/>
      <c r="H35" s="139"/>
      <c r="I35" s="138"/>
      <c r="J35" s="139"/>
      <c r="K35" s="140"/>
    </row>
    <row r="36" spans="1:11" s="141" customFormat="1" ht="13.8">
      <c r="A36" s="131"/>
      <c r="B36" s="136" t="s">
        <v>22</v>
      </c>
      <c r="C36" s="137" t="s">
        <v>11</v>
      </c>
      <c r="D36" s="222">
        <f>D32*1.02</f>
        <v>102</v>
      </c>
      <c r="E36" s="138"/>
      <c r="F36" s="139">
        <f t="shared" si="0"/>
        <v>0</v>
      </c>
      <c r="G36" s="138"/>
      <c r="H36" s="139">
        <f t="shared" si="1"/>
        <v>0</v>
      </c>
      <c r="I36" s="138"/>
      <c r="J36" s="139">
        <f t="shared" si="2"/>
        <v>0</v>
      </c>
      <c r="K36" s="140">
        <f t="shared" si="3"/>
        <v>0</v>
      </c>
    </row>
    <row r="37" spans="1:11" s="141" customFormat="1" ht="13.8">
      <c r="A37" s="131"/>
      <c r="B37" s="136" t="s">
        <v>89</v>
      </c>
      <c r="C37" s="145" t="s">
        <v>88</v>
      </c>
      <c r="D37" s="222">
        <f>(130+82.6+357.7)*1.05/1000</f>
        <v>0.59881499999999999</v>
      </c>
      <c r="E37" s="138"/>
      <c r="F37" s="139">
        <f t="shared" si="0"/>
        <v>0</v>
      </c>
      <c r="G37" s="138"/>
      <c r="H37" s="139">
        <f t="shared" si="1"/>
        <v>0</v>
      </c>
      <c r="I37" s="138"/>
      <c r="J37" s="139">
        <f t="shared" si="2"/>
        <v>0</v>
      </c>
      <c r="K37" s="140">
        <f t="shared" si="3"/>
        <v>0</v>
      </c>
    </row>
    <row r="38" spans="1:11" s="141" customFormat="1" ht="13.8">
      <c r="A38" s="131"/>
      <c r="B38" s="136" t="s">
        <v>133</v>
      </c>
      <c r="C38" s="145" t="s">
        <v>88</v>
      </c>
      <c r="D38" s="222">
        <f>(6352.5+58.1)*1.05/1000</f>
        <v>6.7311300000000012</v>
      </c>
      <c r="E38" s="138"/>
      <c r="F38" s="139">
        <f t="shared" si="0"/>
        <v>0</v>
      </c>
      <c r="G38" s="138"/>
      <c r="H38" s="139">
        <f t="shared" si="1"/>
        <v>0</v>
      </c>
      <c r="I38" s="138"/>
      <c r="J38" s="139">
        <f t="shared" si="2"/>
        <v>0</v>
      </c>
      <c r="K38" s="140">
        <f t="shared" si="3"/>
        <v>0</v>
      </c>
    </row>
    <row r="39" spans="1:11" s="141" customFormat="1" ht="13.8">
      <c r="A39" s="131"/>
      <c r="B39" s="136" t="s">
        <v>92</v>
      </c>
      <c r="C39" s="145" t="s">
        <v>88</v>
      </c>
      <c r="D39" s="222">
        <f>(1152+456)*1.05/1000</f>
        <v>1.6884000000000001</v>
      </c>
      <c r="E39" s="138"/>
      <c r="F39" s="139">
        <f t="shared" si="0"/>
        <v>0</v>
      </c>
      <c r="G39" s="138"/>
      <c r="H39" s="139">
        <f t="shared" si="1"/>
        <v>0</v>
      </c>
      <c r="I39" s="138"/>
      <c r="J39" s="139">
        <f t="shared" si="2"/>
        <v>0</v>
      </c>
      <c r="K39" s="140">
        <f t="shared" si="3"/>
        <v>0</v>
      </c>
    </row>
    <row r="40" spans="1:11" s="141" customFormat="1" ht="13.8">
      <c r="A40" s="131"/>
      <c r="B40" s="136" t="s">
        <v>25</v>
      </c>
      <c r="C40" s="145" t="s">
        <v>26</v>
      </c>
      <c r="D40" s="222">
        <f>(D39+D38+D37)*9</f>
        <v>81.165105000000011</v>
      </c>
      <c r="E40" s="138"/>
      <c r="F40" s="139">
        <f t="shared" si="0"/>
        <v>0</v>
      </c>
      <c r="G40" s="138"/>
      <c r="H40" s="139">
        <f t="shared" si="1"/>
        <v>0</v>
      </c>
      <c r="I40" s="138"/>
      <c r="J40" s="139">
        <f t="shared" si="2"/>
        <v>0</v>
      </c>
      <c r="K40" s="140">
        <f t="shared" si="3"/>
        <v>0</v>
      </c>
    </row>
    <row r="41" spans="1:11" s="141" customFormat="1" ht="13.8">
      <c r="A41" s="131"/>
      <c r="B41" s="136" t="s">
        <v>27</v>
      </c>
      <c r="C41" s="137" t="s">
        <v>11</v>
      </c>
      <c r="D41" s="222">
        <f>D32</f>
        <v>100</v>
      </c>
      <c r="E41" s="138"/>
      <c r="F41" s="139">
        <f t="shared" si="0"/>
        <v>0</v>
      </c>
      <c r="G41" s="138"/>
      <c r="H41" s="139">
        <f t="shared" si="1"/>
        <v>0</v>
      </c>
      <c r="I41" s="138"/>
      <c r="J41" s="139">
        <f t="shared" si="2"/>
        <v>0</v>
      </c>
      <c r="K41" s="140">
        <f t="shared" si="3"/>
        <v>0</v>
      </c>
    </row>
    <row r="42" spans="1:11" s="141" customFormat="1" ht="13.8">
      <c r="A42" s="131"/>
      <c r="B42" s="136" t="s">
        <v>21</v>
      </c>
      <c r="C42" s="137" t="s">
        <v>20</v>
      </c>
      <c r="D42" s="222">
        <f>D32</f>
        <v>100</v>
      </c>
      <c r="E42" s="138"/>
      <c r="F42" s="139">
        <f t="shared" si="0"/>
        <v>0</v>
      </c>
      <c r="G42" s="138"/>
      <c r="H42" s="139">
        <f t="shared" si="1"/>
        <v>0</v>
      </c>
      <c r="I42" s="138"/>
      <c r="J42" s="139">
        <f t="shared" si="2"/>
        <v>0</v>
      </c>
      <c r="K42" s="140">
        <f t="shared" si="3"/>
        <v>0</v>
      </c>
    </row>
    <row r="43" spans="1:11" s="141" customFormat="1" ht="22.2" customHeight="1">
      <c r="A43" s="131">
        <v>8</v>
      </c>
      <c r="B43" s="105" t="s">
        <v>134</v>
      </c>
      <c r="C43" s="106" t="s">
        <v>24</v>
      </c>
      <c r="D43" s="134">
        <f>(D45+D46+D47)/1.05</f>
        <v>0.59770000000000001</v>
      </c>
      <c r="E43" s="107"/>
      <c r="F43" s="107"/>
      <c r="G43" s="107"/>
      <c r="H43" s="107"/>
      <c r="I43" s="108"/>
      <c r="J43" s="107"/>
      <c r="K43" s="107"/>
    </row>
    <row r="44" spans="1:11" s="141" customFormat="1" ht="13.8">
      <c r="A44" s="131"/>
      <c r="B44" s="109" t="s">
        <v>135</v>
      </c>
      <c r="C44" s="110" t="s">
        <v>24</v>
      </c>
      <c r="D44" s="224">
        <f>D43</f>
        <v>0.59770000000000001</v>
      </c>
      <c r="E44" s="111"/>
      <c r="F44" s="139"/>
      <c r="G44" s="197"/>
      <c r="H44" s="139">
        <f>G44*D44</f>
        <v>0</v>
      </c>
      <c r="I44" s="111"/>
      <c r="J44" s="139"/>
      <c r="K44" s="140">
        <f t="shared" ref="K44:K49" si="12">J44+H44+F44</f>
        <v>0</v>
      </c>
    </row>
    <row r="45" spans="1:11" s="141" customFormat="1" ht="13.8">
      <c r="A45" s="131"/>
      <c r="B45" s="112" t="s">
        <v>139</v>
      </c>
      <c r="C45" s="113" t="s">
        <v>137</v>
      </c>
      <c r="D45" s="225">
        <f>(24.48+28.8+18.72+1.5)*1.05/1000</f>
        <v>7.7174999999999994E-2</v>
      </c>
      <c r="E45" s="138"/>
      <c r="F45" s="139">
        <f t="shared" ref="F45:F49" si="13">E45*D45</f>
        <v>0</v>
      </c>
      <c r="G45" s="114"/>
      <c r="H45" s="139"/>
      <c r="I45" s="115"/>
      <c r="J45" s="139"/>
      <c r="K45" s="140">
        <f t="shared" si="12"/>
        <v>0</v>
      </c>
    </row>
    <row r="46" spans="1:11" s="141" customFormat="1" ht="13.8">
      <c r="A46" s="131"/>
      <c r="B46" s="112" t="s">
        <v>136</v>
      </c>
      <c r="C46" s="113" t="s">
        <v>137</v>
      </c>
      <c r="D46" s="225">
        <f>121*1.05/1000</f>
        <v>0.12705000000000002</v>
      </c>
      <c r="E46" s="138"/>
      <c r="F46" s="139">
        <f t="shared" si="13"/>
        <v>0</v>
      </c>
      <c r="G46" s="114"/>
      <c r="H46" s="139"/>
      <c r="I46" s="115"/>
      <c r="J46" s="139"/>
      <c r="K46" s="140">
        <f t="shared" si="12"/>
        <v>0</v>
      </c>
    </row>
    <row r="47" spans="1:11" s="141" customFormat="1" ht="13.8">
      <c r="A47" s="131"/>
      <c r="B47" s="112" t="s">
        <v>138</v>
      </c>
      <c r="C47" s="113" t="s">
        <v>137</v>
      </c>
      <c r="D47" s="225">
        <f>403.2*1.05/1000</f>
        <v>0.42336000000000001</v>
      </c>
      <c r="E47" s="138"/>
      <c r="F47" s="139">
        <f t="shared" si="13"/>
        <v>0</v>
      </c>
      <c r="G47" s="114"/>
      <c r="H47" s="139"/>
      <c r="I47" s="115"/>
      <c r="J47" s="139"/>
      <c r="K47" s="140">
        <f t="shared" si="12"/>
        <v>0</v>
      </c>
    </row>
    <row r="48" spans="1:11" s="141" customFormat="1" ht="13.8">
      <c r="A48" s="131"/>
      <c r="B48" s="112" t="s">
        <v>25</v>
      </c>
      <c r="C48" s="116" t="s">
        <v>26</v>
      </c>
      <c r="D48" s="115">
        <f>(D47+D46+D45)*9</f>
        <v>5.6482650000000003</v>
      </c>
      <c r="E48" s="114"/>
      <c r="F48" s="139">
        <f t="shared" si="13"/>
        <v>0</v>
      </c>
      <c r="G48" s="114"/>
      <c r="H48" s="139"/>
      <c r="I48" s="115"/>
      <c r="J48" s="139"/>
      <c r="K48" s="140">
        <f t="shared" si="12"/>
        <v>0</v>
      </c>
    </row>
    <row r="49" spans="1:11" s="141" customFormat="1" ht="13.8">
      <c r="A49" s="131"/>
      <c r="B49" s="112" t="s">
        <v>21</v>
      </c>
      <c r="C49" s="117" t="s">
        <v>20</v>
      </c>
      <c r="D49" s="115">
        <f>D43*100</f>
        <v>59.77</v>
      </c>
      <c r="E49" s="138"/>
      <c r="F49" s="139">
        <f t="shared" si="13"/>
        <v>0</v>
      </c>
      <c r="G49" s="114"/>
      <c r="H49" s="139"/>
      <c r="I49" s="114"/>
      <c r="J49" s="139"/>
      <c r="K49" s="140">
        <f t="shared" si="12"/>
        <v>0</v>
      </c>
    </row>
    <row r="50" spans="1:11" s="130" customFormat="1" ht="27.6">
      <c r="A50" s="131">
        <f>A32+1</f>
        <v>7</v>
      </c>
      <c r="B50" s="132" t="s">
        <v>41</v>
      </c>
      <c r="C50" s="147" t="s">
        <v>29</v>
      </c>
      <c r="D50" s="134">
        <v>283.5</v>
      </c>
      <c r="E50" s="135"/>
      <c r="F50" s="135"/>
      <c r="G50" s="135"/>
      <c r="H50" s="135"/>
      <c r="I50" s="135"/>
      <c r="J50" s="135"/>
      <c r="K50" s="135"/>
    </row>
    <row r="51" spans="1:11" s="141" customFormat="1" ht="13.8">
      <c r="A51" s="148"/>
      <c r="B51" s="149" t="s">
        <v>15</v>
      </c>
      <c r="C51" s="150" t="s">
        <v>29</v>
      </c>
      <c r="D51" s="226">
        <f>D50</f>
        <v>283.5</v>
      </c>
      <c r="E51" s="151"/>
      <c r="F51" s="139">
        <f t="shared" si="0"/>
        <v>0</v>
      </c>
      <c r="G51" s="151"/>
      <c r="H51" s="139">
        <f t="shared" si="1"/>
        <v>0</v>
      </c>
      <c r="I51" s="151"/>
      <c r="J51" s="139">
        <f t="shared" si="2"/>
        <v>0</v>
      </c>
      <c r="K51" s="140">
        <f t="shared" si="3"/>
        <v>0</v>
      </c>
    </row>
    <row r="52" spans="1:11" s="141" customFormat="1" ht="13.8">
      <c r="A52" s="131"/>
      <c r="B52" s="136" t="s">
        <v>19</v>
      </c>
      <c r="C52" s="137" t="s">
        <v>20</v>
      </c>
      <c r="D52" s="222">
        <f>D50*0.21</f>
        <v>59.534999999999997</v>
      </c>
      <c r="E52" s="138"/>
      <c r="F52" s="139">
        <f t="shared" si="0"/>
        <v>0</v>
      </c>
      <c r="G52" s="138"/>
      <c r="H52" s="139">
        <f t="shared" si="1"/>
        <v>0</v>
      </c>
      <c r="I52" s="138"/>
      <c r="J52" s="139">
        <f t="shared" si="2"/>
        <v>0</v>
      </c>
      <c r="K52" s="140">
        <f t="shared" si="3"/>
        <v>0</v>
      </c>
    </row>
    <row r="53" spans="1:11" s="141" customFormat="1" ht="13.8">
      <c r="A53" s="131"/>
      <c r="B53" s="136" t="s">
        <v>16</v>
      </c>
      <c r="C53" s="137"/>
      <c r="D53" s="222"/>
      <c r="E53" s="138"/>
      <c r="F53" s="139"/>
      <c r="G53" s="138"/>
      <c r="H53" s="139"/>
      <c r="I53" s="138"/>
      <c r="J53" s="139"/>
      <c r="K53" s="140"/>
    </row>
    <row r="54" spans="1:11" s="141" customFormat="1" ht="13.8">
      <c r="A54" s="131"/>
      <c r="B54" s="136" t="s">
        <v>42</v>
      </c>
      <c r="C54" s="137" t="s">
        <v>26</v>
      </c>
      <c r="D54" s="222">
        <f>D50*0.35</f>
        <v>99.224999999999994</v>
      </c>
      <c r="E54" s="138"/>
      <c r="F54" s="139">
        <f t="shared" si="0"/>
        <v>0</v>
      </c>
      <c r="G54" s="138"/>
      <c r="H54" s="139">
        <f t="shared" si="1"/>
        <v>0</v>
      </c>
      <c r="I54" s="138"/>
      <c r="J54" s="139">
        <f t="shared" si="2"/>
        <v>0</v>
      </c>
      <c r="K54" s="140">
        <f t="shared" si="3"/>
        <v>0</v>
      </c>
    </row>
    <row r="55" spans="1:11" s="141" customFormat="1" ht="13.8">
      <c r="A55" s="131"/>
      <c r="B55" s="136" t="s">
        <v>43</v>
      </c>
      <c r="C55" s="137" t="s">
        <v>26</v>
      </c>
      <c r="D55" s="222">
        <f>D50*0.15</f>
        <v>42.524999999999999</v>
      </c>
      <c r="E55" s="138"/>
      <c r="F55" s="139">
        <f t="shared" si="0"/>
        <v>0</v>
      </c>
      <c r="G55" s="138"/>
      <c r="H55" s="139">
        <f t="shared" si="1"/>
        <v>0</v>
      </c>
      <c r="I55" s="138"/>
      <c r="J55" s="139">
        <f t="shared" si="2"/>
        <v>0</v>
      </c>
      <c r="K55" s="140">
        <f t="shared" si="3"/>
        <v>0</v>
      </c>
    </row>
    <row r="56" spans="1:11" s="141" customFormat="1" ht="13.8">
      <c r="A56" s="131">
        <v>8</v>
      </c>
      <c r="B56" s="132" t="s">
        <v>127</v>
      </c>
      <c r="C56" s="133" t="s">
        <v>11</v>
      </c>
      <c r="D56" s="134">
        <f>11.4+11.4</f>
        <v>22.8</v>
      </c>
      <c r="E56" s="135"/>
      <c r="F56" s="135"/>
      <c r="G56" s="135"/>
      <c r="H56" s="135"/>
      <c r="I56" s="135"/>
      <c r="J56" s="135"/>
      <c r="K56" s="135"/>
    </row>
    <row r="57" spans="1:11" s="141" customFormat="1" ht="13.8">
      <c r="A57" s="131"/>
      <c r="B57" s="146" t="s">
        <v>150</v>
      </c>
      <c r="C57" s="137" t="s">
        <v>11</v>
      </c>
      <c r="D57" s="222">
        <f>D56</f>
        <v>22.8</v>
      </c>
      <c r="E57" s="138"/>
      <c r="F57" s="152">
        <f t="shared" si="0"/>
        <v>0</v>
      </c>
      <c r="G57" s="153"/>
      <c r="H57" s="152">
        <f t="shared" si="1"/>
        <v>0</v>
      </c>
      <c r="I57" s="138"/>
      <c r="J57" s="139">
        <f t="shared" si="2"/>
        <v>0</v>
      </c>
      <c r="K57" s="140">
        <f t="shared" si="3"/>
        <v>0</v>
      </c>
    </row>
    <row r="58" spans="1:11" s="141" customFormat="1" ht="13.8">
      <c r="A58" s="131"/>
      <c r="B58" s="136" t="s">
        <v>19</v>
      </c>
      <c r="C58" s="145" t="s">
        <v>20</v>
      </c>
      <c r="D58" s="222">
        <f>D56</f>
        <v>22.8</v>
      </c>
      <c r="E58" s="138"/>
      <c r="F58" s="152">
        <f t="shared" si="0"/>
        <v>0</v>
      </c>
      <c r="G58" s="153"/>
      <c r="H58" s="152">
        <f t="shared" si="1"/>
        <v>0</v>
      </c>
      <c r="I58" s="138"/>
      <c r="J58" s="139">
        <f t="shared" si="2"/>
        <v>0</v>
      </c>
      <c r="K58" s="140">
        <f t="shared" si="3"/>
        <v>0</v>
      </c>
    </row>
    <row r="59" spans="1:11" s="141" customFormat="1" ht="13.8">
      <c r="A59" s="131"/>
      <c r="B59" s="136" t="s">
        <v>16</v>
      </c>
      <c r="C59" s="145"/>
      <c r="D59" s="222"/>
      <c r="E59" s="138"/>
      <c r="F59" s="152"/>
      <c r="G59" s="153"/>
      <c r="H59" s="152"/>
      <c r="I59" s="138"/>
      <c r="J59" s="139"/>
      <c r="K59" s="140"/>
    </row>
    <row r="60" spans="1:11" s="141" customFormat="1" ht="13.8">
      <c r="A60" s="131"/>
      <c r="B60" s="136" t="s">
        <v>22</v>
      </c>
      <c r="C60" s="137" t="s">
        <v>11</v>
      </c>
      <c r="D60" s="222">
        <f>D56*1.02</f>
        <v>23.256</v>
      </c>
      <c r="E60" s="138"/>
      <c r="F60" s="152">
        <f t="shared" si="0"/>
        <v>0</v>
      </c>
      <c r="G60" s="153"/>
      <c r="H60" s="152">
        <f t="shared" si="1"/>
        <v>0</v>
      </c>
      <c r="I60" s="138"/>
      <c r="J60" s="139">
        <f t="shared" si="2"/>
        <v>0</v>
      </c>
      <c r="K60" s="140">
        <f t="shared" si="3"/>
        <v>0</v>
      </c>
    </row>
    <row r="61" spans="1:11" s="141" customFormat="1" ht="13.8">
      <c r="A61" s="131"/>
      <c r="B61" s="136" t="s">
        <v>89</v>
      </c>
      <c r="C61" s="145" t="s">
        <v>88</v>
      </c>
      <c r="D61" s="222">
        <f>(199.68+249.6+199.7+249.6)*1.05/1000</f>
        <v>0.94350900000000015</v>
      </c>
      <c r="E61" s="138"/>
      <c r="F61" s="152">
        <f t="shared" si="0"/>
        <v>0</v>
      </c>
      <c r="G61" s="153"/>
      <c r="H61" s="152">
        <f t="shared" si="1"/>
        <v>0</v>
      </c>
      <c r="I61" s="138"/>
      <c r="J61" s="139">
        <f t="shared" si="2"/>
        <v>0</v>
      </c>
      <c r="K61" s="140">
        <f t="shared" si="3"/>
        <v>0</v>
      </c>
    </row>
    <row r="62" spans="1:11" s="141" customFormat="1" ht="13.8">
      <c r="A62" s="131"/>
      <c r="B62" s="136" t="s">
        <v>93</v>
      </c>
      <c r="C62" s="145" t="s">
        <v>88</v>
      </c>
      <c r="D62" s="222">
        <f>(518.4+480+748.8)*1.05/1000</f>
        <v>1.83456</v>
      </c>
      <c r="E62" s="138"/>
      <c r="F62" s="152">
        <f t="shared" si="0"/>
        <v>0</v>
      </c>
      <c r="G62" s="153"/>
      <c r="H62" s="152">
        <f t="shared" si="1"/>
        <v>0</v>
      </c>
      <c r="I62" s="138"/>
      <c r="J62" s="139">
        <f t="shared" si="2"/>
        <v>0</v>
      </c>
      <c r="K62" s="140">
        <f t="shared" si="3"/>
        <v>0</v>
      </c>
    </row>
    <row r="63" spans="1:11" s="141" customFormat="1" ht="13.8">
      <c r="A63" s="131"/>
      <c r="B63" s="136" t="s">
        <v>25</v>
      </c>
      <c r="C63" s="145" t="s">
        <v>26</v>
      </c>
      <c r="D63" s="222">
        <f>(D62+D61)*9</f>
        <v>25.002621000000005</v>
      </c>
      <c r="E63" s="114"/>
      <c r="F63" s="152">
        <f t="shared" si="0"/>
        <v>0</v>
      </c>
      <c r="G63" s="153"/>
      <c r="H63" s="152">
        <f t="shared" si="1"/>
        <v>0</v>
      </c>
      <c r="I63" s="138"/>
      <c r="J63" s="139">
        <f t="shared" si="2"/>
        <v>0</v>
      </c>
      <c r="K63" s="140">
        <f t="shared" si="3"/>
        <v>0</v>
      </c>
    </row>
    <row r="64" spans="1:11" s="141" customFormat="1" ht="13.8">
      <c r="A64" s="131"/>
      <c r="B64" s="136" t="s">
        <v>27</v>
      </c>
      <c r="C64" s="137" t="s">
        <v>11</v>
      </c>
      <c r="D64" s="222">
        <f>D56</f>
        <v>22.8</v>
      </c>
      <c r="E64" s="138"/>
      <c r="F64" s="152">
        <f t="shared" si="0"/>
        <v>0</v>
      </c>
      <c r="G64" s="153"/>
      <c r="H64" s="152">
        <f t="shared" si="1"/>
        <v>0</v>
      </c>
      <c r="I64" s="138"/>
      <c r="J64" s="139">
        <f t="shared" si="2"/>
        <v>0</v>
      </c>
      <c r="K64" s="140">
        <f t="shared" si="3"/>
        <v>0</v>
      </c>
    </row>
    <row r="65" spans="1:11" s="141" customFormat="1" ht="13.8">
      <c r="A65" s="131"/>
      <c r="B65" s="136" t="s">
        <v>21</v>
      </c>
      <c r="C65" s="137" t="s">
        <v>20</v>
      </c>
      <c r="D65" s="222">
        <f>D56</f>
        <v>22.8</v>
      </c>
      <c r="E65" s="138"/>
      <c r="F65" s="152">
        <f t="shared" si="0"/>
        <v>0</v>
      </c>
      <c r="G65" s="153"/>
      <c r="H65" s="152">
        <f t="shared" si="1"/>
        <v>0</v>
      </c>
      <c r="I65" s="138"/>
      <c r="J65" s="139">
        <f t="shared" si="2"/>
        <v>0</v>
      </c>
      <c r="K65" s="140">
        <f t="shared" si="3"/>
        <v>0</v>
      </c>
    </row>
    <row r="66" spans="1:11" s="141" customFormat="1" ht="13.8">
      <c r="A66" s="131">
        <f>A56+1</f>
        <v>9</v>
      </c>
      <c r="B66" s="132" t="s">
        <v>129</v>
      </c>
      <c r="C66" s="133" t="s">
        <v>11</v>
      </c>
      <c r="D66" s="134">
        <f>16.8+3.6</f>
        <v>20.400000000000002</v>
      </c>
      <c r="E66" s="135"/>
      <c r="F66" s="135"/>
      <c r="G66" s="135"/>
      <c r="H66" s="135"/>
      <c r="I66" s="135"/>
      <c r="J66" s="135"/>
      <c r="K66" s="135"/>
    </row>
    <row r="67" spans="1:11" s="141" customFormat="1" ht="13.8">
      <c r="A67" s="131"/>
      <c r="B67" s="146" t="s">
        <v>150</v>
      </c>
      <c r="C67" s="137" t="s">
        <v>11</v>
      </c>
      <c r="D67" s="222">
        <f>D66</f>
        <v>20.400000000000002</v>
      </c>
      <c r="E67" s="138"/>
      <c r="F67" s="152">
        <f t="shared" ref="F67:F129" si="14">E67*D67</f>
        <v>0</v>
      </c>
      <c r="G67" s="153"/>
      <c r="H67" s="152">
        <f t="shared" ref="H67:H129" si="15">G67*D67</f>
        <v>0</v>
      </c>
      <c r="I67" s="138"/>
      <c r="J67" s="139">
        <f t="shared" ref="J67:J129" si="16">I67*D67</f>
        <v>0</v>
      </c>
      <c r="K67" s="140">
        <f t="shared" ref="K67:K129" si="17">J67+H67+F67</f>
        <v>0</v>
      </c>
    </row>
    <row r="68" spans="1:11" s="141" customFormat="1" ht="13.8">
      <c r="A68" s="131"/>
      <c r="B68" s="136" t="s">
        <v>19</v>
      </c>
      <c r="C68" s="145" t="s">
        <v>20</v>
      </c>
      <c r="D68" s="222">
        <f>D66</f>
        <v>20.400000000000002</v>
      </c>
      <c r="E68" s="138"/>
      <c r="F68" s="152">
        <f t="shared" si="14"/>
        <v>0</v>
      </c>
      <c r="G68" s="153"/>
      <c r="H68" s="152">
        <f t="shared" si="15"/>
        <v>0</v>
      </c>
      <c r="I68" s="138"/>
      <c r="J68" s="139">
        <f t="shared" si="16"/>
        <v>0</v>
      </c>
      <c r="K68" s="140">
        <f t="shared" si="17"/>
        <v>0</v>
      </c>
    </row>
    <row r="69" spans="1:11" s="141" customFormat="1" ht="13.8">
      <c r="A69" s="131"/>
      <c r="B69" s="136" t="s">
        <v>16</v>
      </c>
      <c r="C69" s="145"/>
      <c r="D69" s="222"/>
      <c r="E69" s="138"/>
      <c r="F69" s="152"/>
      <c r="G69" s="153"/>
      <c r="H69" s="152"/>
      <c r="I69" s="138"/>
      <c r="J69" s="139"/>
      <c r="K69" s="140"/>
    </row>
    <row r="70" spans="1:11" s="141" customFormat="1" ht="13.8">
      <c r="A70" s="131"/>
      <c r="B70" s="136" t="s">
        <v>22</v>
      </c>
      <c r="C70" s="137" t="s">
        <v>11</v>
      </c>
      <c r="D70" s="222">
        <f>D66*1.02</f>
        <v>20.808000000000003</v>
      </c>
      <c r="E70" s="138"/>
      <c r="F70" s="152">
        <f t="shared" si="14"/>
        <v>0</v>
      </c>
      <c r="G70" s="153"/>
      <c r="H70" s="152">
        <f t="shared" si="15"/>
        <v>0</v>
      </c>
      <c r="I70" s="138"/>
      <c r="J70" s="139">
        <f t="shared" si="16"/>
        <v>0</v>
      </c>
      <c r="K70" s="140">
        <f t="shared" si="17"/>
        <v>0</v>
      </c>
    </row>
    <row r="71" spans="1:11" s="141" customFormat="1" ht="13.8">
      <c r="A71" s="131"/>
      <c r="B71" s="136" t="s">
        <v>89</v>
      </c>
      <c r="C71" s="145" t="s">
        <v>88</v>
      </c>
      <c r="D71" s="222">
        <f>(1686.4+256)*1.05/1000</f>
        <v>2.03952</v>
      </c>
      <c r="E71" s="138"/>
      <c r="F71" s="152">
        <f t="shared" si="14"/>
        <v>0</v>
      </c>
      <c r="G71" s="153"/>
      <c r="H71" s="152">
        <f t="shared" si="15"/>
        <v>0</v>
      </c>
      <c r="I71" s="138"/>
      <c r="J71" s="139">
        <f t="shared" si="16"/>
        <v>0</v>
      </c>
      <c r="K71" s="140">
        <f t="shared" si="17"/>
        <v>0</v>
      </c>
    </row>
    <row r="72" spans="1:11" s="130" customFormat="1" ht="13.8">
      <c r="A72" s="131"/>
      <c r="B72" s="136" t="s">
        <v>91</v>
      </c>
      <c r="C72" s="145" t="s">
        <v>88</v>
      </c>
      <c r="D72" s="222">
        <f>4420*1.05/1000</f>
        <v>4.641</v>
      </c>
      <c r="E72" s="138"/>
      <c r="F72" s="152">
        <f t="shared" si="14"/>
        <v>0</v>
      </c>
      <c r="G72" s="153"/>
      <c r="H72" s="152">
        <f t="shared" si="15"/>
        <v>0</v>
      </c>
      <c r="I72" s="138"/>
      <c r="J72" s="139">
        <f t="shared" si="16"/>
        <v>0</v>
      </c>
      <c r="K72" s="140">
        <f t="shared" si="17"/>
        <v>0</v>
      </c>
    </row>
    <row r="73" spans="1:11" s="141" customFormat="1" ht="13.8">
      <c r="A73" s="131"/>
      <c r="B73" s="136" t="s">
        <v>25</v>
      </c>
      <c r="C73" s="145" t="s">
        <v>26</v>
      </c>
      <c r="D73" s="222">
        <f>(D72+D71)*9</f>
        <v>60.124679999999998</v>
      </c>
      <c r="E73" s="114"/>
      <c r="F73" s="139">
        <f t="shared" si="14"/>
        <v>0</v>
      </c>
      <c r="G73" s="138"/>
      <c r="H73" s="139">
        <f t="shared" si="15"/>
        <v>0</v>
      </c>
      <c r="I73" s="138"/>
      <c r="J73" s="139">
        <f t="shared" si="16"/>
        <v>0</v>
      </c>
      <c r="K73" s="140">
        <f t="shared" si="17"/>
        <v>0</v>
      </c>
    </row>
    <row r="74" spans="1:11" s="141" customFormat="1" ht="13.8">
      <c r="A74" s="131"/>
      <c r="B74" s="136" t="s">
        <v>27</v>
      </c>
      <c r="C74" s="137" t="s">
        <v>11</v>
      </c>
      <c r="D74" s="222">
        <f>D66</f>
        <v>20.400000000000002</v>
      </c>
      <c r="E74" s="153"/>
      <c r="F74" s="139">
        <f t="shared" si="14"/>
        <v>0</v>
      </c>
      <c r="G74" s="138"/>
      <c r="H74" s="139">
        <f t="shared" si="15"/>
        <v>0</v>
      </c>
      <c r="I74" s="138"/>
      <c r="J74" s="139">
        <f t="shared" si="16"/>
        <v>0</v>
      </c>
      <c r="K74" s="140">
        <f t="shared" si="17"/>
        <v>0</v>
      </c>
    </row>
    <row r="75" spans="1:11" s="141" customFormat="1" ht="13.8">
      <c r="A75" s="131"/>
      <c r="B75" s="136" t="s">
        <v>21</v>
      </c>
      <c r="C75" s="137" t="s">
        <v>20</v>
      </c>
      <c r="D75" s="222">
        <f>D66</f>
        <v>20.400000000000002</v>
      </c>
      <c r="E75" s="138"/>
      <c r="F75" s="139">
        <f t="shared" si="14"/>
        <v>0</v>
      </c>
      <c r="G75" s="138"/>
      <c r="H75" s="139">
        <f t="shared" si="15"/>
        <v>0</v>
      </c>
      <c r="I75" s="138"/>
      <c r="J75" s="139">
        <f t="shared" si="16"/>
        <v>0</v>
      </c>
      <c r="K75" s="140">
        <f t="shared" si="17"/>
        <v>0</v>
      </c>
    </row>
    <row r="76" spans="1:11" s="141" customFormat="1" ht="27.6">
      <c r="A76" s="131">
        <f>A66+1</f>
        <v>10</v>
      </c>
      <c r="B76" s="132" t="s">
        <v>130</v>
      </c>
      <c r="C76" s="133" t="s">
        <v>11</v>
      </c>
      <c r="D76" s="134">
        <v>47.4</v>
      </c>
      <c r="E76" s="135"/>
      <c r="F76" s="135"/>
      <c r="G76" s="135"/>
      <c r="H76" s="135"/>
      <c r="I76" s="135"/>
      <c r="J76" s="135"/>
      <c r="K76" s="135"/>
    </row>
    <row r="77" spans="1:11" s="141" customFormat="1" ht="13.8">
      <c r="A77" s="131"/>
      <c r="B77" s="146" t="s">
        <v>150</v>
      </c>
      <c r="C77" s="137" t="s">
        <v>11</v>
      </c>
      <c r="D77" s="222">
        <f>D76</f>
        <v>47.4</v>
      </c>
      <c r="E77" s="153"/>
      <c r="F77" s="152">
        <f t="shared" si="14"/>
        <v>0</v>
      </c>
      <c r="G77" s="153"/>
      <c r="H77" s="152">
        <f t="shared" si="15"/>
        <v>0</v>
      </c>
      <c r="I77" s="138"/>
      <c r="J77" s="139">
        <f t="shared" si="16"/>
        <v>0</v>
      </c>
      <c r="K77" s="140">
        <f t="shared" si="17"/>
        <v>0</v>
      </c>
    </row>
    <row r="78" spans="1:11" s="141" customFormat="1" ht="13.8">
      <c r="A78" s="131"/>
      <c r="B78" s="136" t="s">
        <v>19</v>
      </c>
      <c r="C78" s="145" t="s">
        <v>20</v>
      </c>
      <c r="D78" s="222">
        <f>D76</f>
        <v>47.4</v>
      </c>
      <c r="E78" s="153"/>
      <c r="F78" s="152">
        <f t="shared" si="14"/>
        <v>0</v>
      </c>
      <c r="G78" s="153"/>
      <c r="H78" s="152">
        <f t="shared" si="15"/>
        <v>0</v>
      </c>
      <c r="I78" s="138"/>
      <c r="J78" s="139">
        <f t="shared" si="16"/>
        <v>0</v>
      </c>
      <c r="K78" s="140">
        <f t="shared" si="17"/>
        <v>0</v>
      </c>
    </row>
    <row r="79" spans="1:11" s="141" customFormat="1" ht="13.8">
      <c r="A79" s="131"/>
      <c r="B79" s="136" t="s">
        <v>16</v>
      </c>
      <c r="C79" s="145"/>
      <c r="D79" s="222"/>
      <c r="E79" s="153"/>
      <c r="F79" s="152"/>
      <c r="G79" s="153"/>
      <c r="H79" s="152"/>
      <c r="I79" s="138"/>
      <c r="J79" s="139"/>
      <c r="K79" s="140"/>
    </row>
    <row r="80" spans="1:11" s="141" customFormat="1" ht="13.8">
      <c r="A80" s="131"/>
      <c r="B80" s="136" t="s">
        <v>22</v>
      </c>
      <c r="C80" s="137" t="s">
        <v>11</v>
      </c>
      <c r="D80" s="222">
        <f>D76*1.02</f>
        <v>48.347999999999999</v>
      </c>
      <c r="E80" s="138"/>
      <c r="F80" s="152">
        <f t="shared" si="14"/>
        <v>0</v>
      </c>
      <c r="G80" s="153"/>
      <c r="H80" s="152">
        <f t="shared" si="15"/>
        <v>0</v>
      </c>
      <c r="I80" s="138"/>
      <c r="J80" s="139">
        <f t="shared" si="16"/>
        <v>0</v>
      </c>
      <c r="K80" s="140">
        <f t="shared" si="17"/>
        <v>0</v>
      </c>
    </row>
    <row r="81" spans="1:11" s="141" customFormat="1" ht="13.8">
      <c r="A81" s="131"/>
      <c r="B81" s="136" t="s">
        <v>89</v>
      </c>
      <c r="C81" s="145" t="s">
        <v>24</v>
      </c>
      <c r="D81" s="222">
        <f>275.4*1.05/1000</f>
        <v>0.28917000000000004</v>
      </c>
      <c r="E81" s="138"/>
      <c r="F81" s="152">
        <f t="shared" si="14"/>
        <v>0</v>
      </c>
      <c r="G81" s="153"/>
      <c r="H81" s="152">
        <f t="shared" si="15"/>
        <v>0</v>
      </c>
      <c r="I81" s="138"/>
      <c r="J81" s="139">
        <f t="shared" si="16"/>
        <v>0</v>
      </c>
      <c r="K81" s="140">
        <f t="shared" si="17"/>
        <v>0</v>
      </c>
    </row>
    <row r="82" spans="1:11" s="141" customFormat="1" ht="13.8">
      <c r="A82" s="131"/>
      <c r="B82" s="136" t="s">
        <v>90</v>
      </c>
      <c r="C82" s="145" t="s">
        <v>24</v>
      </c>
      <c r="D82" s="222">
        <f>(4428+880.2+100.44+432)*1.05/1000</f>
        <v>6.1326719999999995</v>
      </c>
      <c r="E82" s="138"/>
      <c r="F82" s="152">
        <f t="shared" si="14"/>
        <v>0</v>
      </c>
      <c r="G82" s="153"/>
      <c r="H82" s="152">
        <f t="shared" si="15"/>
        <v>0</v>
      </c>
      <c r="I82" s="138"/>
      <c r="J82" s="139">
        <f t="shared" si="16"/>
        <v>0</v>
      </c>
      <c r="K82" s="140">
        <f t="shared" si="17"/>
        <v>0</v>
      </c>
    </row>
    <row r="83" spans="1:11" s="141" customFormat="1" ht="13.8">
      <c r="A83" s="131"/>
      <c r="B83" s="136" t="s">
        <v>25</v>
      </c>
      <c r="C83" s="145" t="s">
        <v>26</v>
      </c>
      <c r="D83" s="222">
        <f>D76*2.5</f>
        <v>118.5</v>
      </c>
      <c r="E83" s="114"/>
      <c r="F83" s="152">
        <f t="shared" si="14"/>
        <v>0</v>
      </c>
      <c r="G83" s="153"/>
      <c r="H83" s="152">
        <f t="shared" si="15"/>
        <v>0</v>
      </c>
      <c r="I83" s="138"/>
      <c r="J83" s="139">
        <f t="shared" si="16"/>
        <v>0</v>
      </c>
      <c r="K83" s="140">
        <f t="shared" si="17"/>
        <v>0</v>
      </c>
    </row>
    <row r="84" spans="1:11" s="141" customFormat="1" ht="13.8">
      <c r="A84" s="131"/>
      <c r="B84" s="136" t="s">
        <v>27</v>
      </c>
      <c r="C84" s="137" t="s">
        <v>11</v>
      </c>
      <c r="D84" s="222">
        <f>D76</f>
        <v>47.4</v>
      </c>
      <c r="E84" s="153"/>
      <c r="F84" s="152">
        <f t="shared" si="14"/>
        <v>0</v>
      </c>
      <c r="G84" s="153"/>
      <c r="H84" s="152">
        <f t="shared" si="15"/>
        <v>0</v>
      </c>
      <c r="I84" s="138"/>
      <c r="J84" s="139">
        <f t="shared" si="16"/>
        <v>0</v>
      </c>
      <c r="K84" s="140">
        <f t="shared" si="17"/>
        <v>0</v>
      </c>
    </row>
    <row r="85" spans="1:11" s="141" customFormat="1" ht="13.8">
      <c r="A85" s="131"/>
      <c r="B85" s="136" t="s">
        <v>21</v>
      </c>
      <c r="C85" s="137" t="s">
        <v>20</v>
      </c>
      <c r="D85" s="222">
        <f>D76</f>
        <v>47.4</v>
      </c>
      <c r="E85" s="138"/>
      <c r="F85" s="152">
        <f t="shared" si="14"/>
        <v>0</v>
      </c>
      <c r="G85" s="153"/>
      <c r="H85" s="152">
        <f t="shared" si="15"/>
        <v>0</v>
      </c>
      <c r="I85" s="138"/>
      <c r="J85" s="139">
        <f t="shared" si="16"/>
        <v>0</v>
      </c>
      <c r="K85" s="140">
        <f t="shared" si="17"/>
        <v>0</v>
      </c>
    </row>
    <row r="86" spans="1:11" s="141" customFormat="1" ht="27.6">
      <c r="A86" s="131">
        <v>12</v>
      </c>
      <c r="B86" s="132" t="s">
        <v>131</v>
      </c>
      <c r="C86" s="133" t="s">
        <v>11</v>
      </c>
      <c r="D86" s="134">
        <v>39</v>
      </c>
      <c r="E86" s="135"/>
      <c r="F86" s="135"/>
      <c r="G86" s="135"/>
      <c r="H86" s="135"/>
      <c r="I86" s="135"/>
      <c r="J86" s="135"/>
      <c r="K86" s="135"/>
    </row>
    <row r="87" spans="1:11" s="141" customFormat="1" ht="13.8">
      <c r="A87" s="131"/>
      <c r="B87" s="146" t="s">
        <v>150</v>
      </c>
      <c r="C87" s="137" t="s">
        <v>11</v>
      </c>
      <c r="D87" s="222">
        <f>D86</f>
        <v>39</v>
      </c>
      <c r="E87" s="153"/>
      <c r="F87" s="152">
        <f t="shared" ref="F87:F88" si="18">E87*D87</f>
        <v>0</v>
      </c>
      <c r="G87" s="153"/>
      <c r="H87" s="152">
        <f t="shared" ref="H87:H88" si="19">G87*D87</f>
        <v>0</v>
      </c>
      <c r="I87" s="138"/>
      <c r="J87" s="139">
        <f t="shared" ref="J87:J88" si="20">I87*D87</f>
        <v>0</v>
      </c>
      <c r="K87" s="140">
        <f t="shared" ref="K87:K88" si="21">J87+H87+F87</f>
        <v>0</v>
      </c>
    </row>
    <row r="88" spans="1:11" s="141" customFormat="1" ht="13.8">
      <c r="A88" s="131"/>
      <c r="B88" s="136" t="s">
        <v>19</v>
      </c>
      <c r="C88" s="145" t="s">
        <v>20</v>
      </c>
      <c r="D88" s="222">
        <f>D86</f>
        <v>39</v>
      </c>
      <c r="E88" s="153"/>
      <c r="F88" s="152">
        <f t="shared" si="18"/>
        <v>0</v>
      </c>
      <c r="G88" s="153"/>
      <c r="H88" s="152">
        <f t="shared" si="19"/>
        <v>0</v>
      </c>
      <c r="I88" s="138"/>
      <c r="J88" s="139">
        <f t="shared" si="20"/>
        <v>0</v>
      </c>
      <c r="K88" s="140">
        <f t="shared" si="21"/>
        <v>0</v>
      </c>
    </row>
    <row r="89" spans="1:11" s="141" customFormat="1" ht="13.8">
      <c r="A89" s="131"/>
      <c r="B89" s="136" t="s">
        <v>16</v>
      </c>
      <c r="C89" s="145"/>
      <c r="D89" s="222"/>
      <c r="E89" s="153"/>
      <c r="F89" s="152"/>
      <c r="G89" s="153"/>
      <c r="H89" s="152"/>
      <c r="I89" s="138"/>
      <c r="J89" s="139"/>
      <c r="K89" s="140"/>
    </row>
    <row r="90" spans="1:11" s="141" customFormat="1" ht="13.8">
      <c r="A90" s="131"/>
      <c r="B90" s="136" t="s">
        <v>22</v>
      </c>
      <c r="C90" s="137" t="s">
        <v>11</v>
      </c>
      <c r="D90" s="222">
        <f>D86*1.02</f>
        <v>39.78</v>
      </c>
      <c r="E90" s="138"/>
      <c r="F90" s="152">
        <f t="shared" ref="F90:F96" si="22">E90*D90</f>
        <v>0</v>
      </c>
      <c r="G90" s="153"/>
      <c r="H90" s="152">
        <f t="shared" ref="H90:H96" si="23">G90*D90</f>
        <v>0</v>
      </c>
      <c r="I90" s="138"/>
      <c r="J90" s="139">
        <f t="shared" ref="J90:J96" si="24">I90*D90</f>
        <v>0</v>
      </c>
      <c r="K90" s="140">
        <f t="shared" ref="K90:K96" si="25">J90+H90+F90</f>
        <v>0</v>
      </c>
    </row>
    <row r="91" spans="1:11" s="141" customFormat="1" ht="13.8">
      <c r="A91" s="131"/>
      <c r="B91" s="136" t="s">
        <v>89</v>
      </c>
      <c r="C91" s="145" t="s">
        <v>24</v>
      </c>
      <c r="D91" s="222">
        <f>228.6*1.05/1000</f>
        <v>0.24002999999999999</v>
      </c>
      <c r="E91" s="138"/>
      <c r="F91" s="152">
        <f t="shared" si="22"/>
        <v>0</v>
      </c>
      <c r="G91" s="153"/>
      <c r="H91" s="152">
        <f t="shared" si="23"/>
        <v>0</v>
      </c>
      <c r="I91" s="138"/>
      <c r="J91" s="139">
        <f t="shared" si="24"/>
        <v>0</v>
      </c>
      <c r="K91" s="140">
        <f t="shared" si="25"/>
        <v>0</v>
      </c>
    </row>
    <row r="92" spans="1:11" s="141" customFormat="1" ht="13.8">
      <c r="A92" s="131"/>
      <c r="B92" s="136" t="s">
        <v>90</v>
      </c>
      <c r="C92" s="145" t="s">
        <v>24</v>
      </c>
      <c r="D92" s="222">
        <f>3690*1.05/1000</f>
        <v>3.8744999999999998</v>
      </c>
      <c r="E92" s="138"/>
      <c r="F92" s="152">
        <f t="shared" si="22"/>
        <v>0</v>
      </c>
      <c r="G92" s="153"/>
      <c r="H92" s="152">
        <f t="shared" si="23"/>
        <v>0</v>
      </c>
      <c r="I92" s="138"/>
      <c r="J92" s="139">
        <f t="shared" si="24"/>
        <v>0</v>
      </c>
      <c r="K92" s="140">
        <f t="shared" si="25"/>
        <v>0</v>
      </c>
    </row>
    <row r="93" spans="1:11" s="141" customFormat="1" ht="13.8">
      <c r="A93" s="131"/>
      <c r="B93" s="136" t="s">
        <v>40</v>
      </c>
      <c r="C93" s="145" t="s">
        <v>29</v>
      </c>
      <c r="D93" s="222">
        <f>440*1.15</f>
        <v>505.99999999999994</v>
      </c>
      <c r="E93" s="153"/>
      <c r="F93" s="152">
        <f t="shared" si="22"/>
        <v>0</v>
      </c>
      <c r="G93" s="153"/>
      <c r="H93" s="152">
        <f t="shared" si="23"/>
        <v>0</v>
      </c>
      <c r="I93" s="138"/>
      <c r="J93" s="139">
        <f t="shared" si="24"/>
        <v>0</v>
      </c>
      <c r="K93" s="140">
        <f t="shared" si="25"/>
        <v>0</v>
      </c>
    </row>
    <row r="94" spans="1:11" s="141" customFormat="1" ht="13.8">
      <c r="A94" s="131"/>
      <c r="B94" s="136" t="s">
        <v>25</v>
      </c>
      <c r="C94" s="145" t="s">
        <v>26</v>
      </c>
      <c r="D94" s="222">
        <f>D86*2.5</f>
        <v>97.5</v>
      </c>
      <c r="E94" s="114"/>
      <c r="F94" s="152">
        <f t="shared" si="22"/>
        <v>0</v>
      </c>
      <c r="G94" s="153"/>
      <c r="H94" s="152">
        <f t="shared" si="23"/>
        <v>0</v>
      </c>
      <c r="I94" s="138"/>
      <c r="J94" s="139">
        <f t="shared" si="24"/>
        <v>0</v>
      </c>
      <c r="K94" s="140">
        <f t="shared" si="25"/>
        <v>0</v>
      </c>
    </row>
    <row r="95" spans="1:11" s="141" customFormat="1" ht="13.8">
      <c r="A95" s="131"/>
      <c r="B95" s="136" t="s">
        <v>27</v>
      </c>
      <c r="C95" s="137" t="s">
        <v>11</v>
      </c>
      <c r="D95" s="222">
        <f>D86</f>
        <v>39</v>
      </c>
      <c r="E95" s="153"/>
      <c r="F95" s="152">
        <f t="shared" si="22"/>
        <v>0</v>
      </c>
      <c r="G95" s="153"/>
      <c r="H95" s="152">
        <f t="shared" si="23"/>
        <v>0</v>
      </c>
      <c r="I95" s="138"/>
      <c r="J95" s="139">
        <f t="shared" si="24"/>
        <v>0</v>
      </c>
      <c r="K95" s="140">
        <f t="shared" si="25"/>
        <v>0</v>
      </c>
    </row>
    <row r="96" spans="1:11" s="141" customFormat="1" ht="13.8">
      <c r="A96" s="131"/>
      <c r="B96" s="136" t="s">
        <v>21</v>
      </c>
      <c r="C96" s="137" t="s">
        <v>20</v>
      </c>
      <c r="D96" s="222">
        <f>D86</f>
        <v>39</v>
      </c>
      <c r="E96" s="138"/>
      <c r="F96" s="152">
        <f t="shared" si="22"/>
        <v>0</v>
      </c>
      <c r="G96" s="153"/>
      <c r="H96" s="152">
        <f t="shared" si="23"/>
        <v>0</v>
      </c>
      <c r="I96" s="138"/>
      <c r="J96" s="139">
        <f t="shared" si="24"/>
        <v>0</v>
      </c>
      <c r="K96" s="140">
        <f t="shared" si="25"/>
        <v>0</v>
      </c>
    </row>
    <row r="97" spans="1:11" s="141" customFormat="1" ht="13.8">
      <c r="A97" s="131">
        <v>13</v>
      </c>
      <c r="B97" s="132" t="s">
        <v>128</v>
      </c>
      <c r="C97" s="133" t="s">
        <v>11</v>
      </c>
      <c r="D97" s="134">
        <v>2.5</v>
      </c>
      <c r="E97" s="135"/>
      <c r="F97" s="135"/>
      <c r="G97" s="135"/>
      <c r="H97" s="135"/>
      <c r="I97" s="135"/>
      <c r="J97" s="135"/>
      <c r="K97" s="135"/>
    </row>
    <row r="98" spans="1:11" s="141" customFormat="1" ht="13.8">
      <c r="A98" s="131"/>
      <c r="B98" s="146" t="s">
        <v>150</v>
      </c>
      <c r="C98" s="137" t="s">
        <v>11</v>
      </c>
      <c r="D98" s="222">
        <f>D97</f>
        <v>2.5</v>
      </c>
      <c r="E98" s="138"/>
      <c r="F98" s="152">
        <f t="shared" ref="F98:F99" si="26">E98*D98</f>
        <v>0</v>
      </c>
      <c r="G98" s="153"/>
      <c r="H98" s="152">
        <f t="shared" ref="H98:H99" si="27">G98*D98</f>
        <v>0</v>
      </c>
      <c r="I98" s="138"/>
      <c r="J98" s="139">
        <f t="shared" ref="J98:J99" si="28">I98*D98</f>
        <v>0</v>
      </c>
      <c r="K98" s="140">
        <f t="shared" ref="K98:K99" si="29">J98+H98+F98</f>
        <v>0</v>
      </c>
    </row>
    <row r="99" spans="1:11" s="141" customFormat="1" ht="13.8">
      <c r="A99" s="131"/>
      <c r="B99" s="136" t="s">
        <v>19</v>
      </c>
      <c r="C99" s="145" t="s">
        <v>20</v>
      </c>
      <c r="D99" s="222">
        <f>D97</f>
        <v>2.5</v>
      </c>
      <c r="E99" s="138"/>
      <c r="F99" s="152">
        <f t="shared" si="26"/>
        <v>0</v>
      </c>
      <c r="G99" s="153"/>
      <c r="H99" s="152">
        <f t="shared" si="27"/>
        <v>0</v>
      </c>
      <c r="I99" s="138"/>
      <c r="J99" s="139">
        <f t="shared" si="28"/>
        <v>0</v>
      </c>
      <c r="K99" s="140">
        <f t="shared" si="29"/>
        <v>0</v>
      </c>
    </row>
    <row r="100" spans="1:11" s="141" customFormat="1" ht="13.8">
      <c r="A100" s="131"/>
      <c r="B100" s="136" t="s">
        <v>16</v>
      </c>
      <c r="C100" s="145"/>
      <c r="D100" s="222"/>
      <c r="E100" s="138"/>
      <c r="F100" s="152"/>
      <c r="G100" s="153"/>
      <c r="H100" s="152"/>
      <c r="I100" s="138"/>
      <c r="J100" s="139"/>
      <c r="K100" s="140"/>
    </row>
    <row r="101" spans="1:11" s="141" customFormat="1" ht="13.8">
      <c r="A101" s="131"/>
      <c r="B101" s="136" t="s">
        <v>22</v>
      </c>
      <c r="C101" s="137" t="s">
        <v>11</v>
      </c>
      <c r="D101" s="222">
        <f>D97*1.02</f>
        <v>2.5499999999999998</v>
      </c>
      <c r="E101" s="138"/>
      <c r="F101" s="152">
        <f t="shared" ref="F101:F106" si="30">E101*D101</f>
        <v>0</v>
      </c>
      <c r="G101" s="153"/>
      <c r="H101" s="152">
        <f t="shared" ref="H101:H106" si="31">G101*D101</f>
        <v>0</v>
      </c>
      <c r="I101" s="138"/>
      <c r="J101" s="139">
        <f t="shared" ref="J101:J106" si="32">I101*D101</f>
        <v>0</v>
      </c>
      <c r="K101" s="140">
        <f t="shared" ref="K101:K106" si="33">J101+H101+F101</f>
        <v>0</v>
      </c>
    </row>
    <row r="102" spans="1:11" s="141" customFormat="1" ht="13.8">
      <c r="A102" s="131"/>
      <c r="B102" s="136" t="s">
        <v>89</v>
      </c>
      <c r="C102" s="145" t="s">
        <v>88</v>
      </c>
      <c r="D102" s="222">
        <f>(30.4+10.4)*1.05/1000</f>
        <v>4.2839999999999996E-2</v>
      </c>
      <c r="E102" s="138"/>
      <c r="F102" s="152">
        <f t="shared" si="30"/>
        <v>0</v>
      </c>
      <c r="G102" s="153"/>
      <c r="H102" s="152">
        <f t="shared" si="31"/>
        <v>0</v>
      </c>
      <c r="I102" s="138"/>
      <c r="J102" s="139">
        <f t="shared" si="32"/>
        <v>0</v>
      </c>
      <c r="K102" s="140">
        <f t="shared" si="33"/>
        <v>0</v>
      </c>
    </row>
    <row r="103" spans="1:11" s="141" customFormat="1" ht="13.8">
      <c r="A103" s="131"/>
      <c r="B103" s="136" t="s">
        <v>90</v>
      </c>
      <c r="C103" s="145" t="s">
        <v>88</v>
      </c>
      <c r="D103" s="222">
        <f>(71.82+75.2+143.6)*1.05/1000</f>
        <v>0.30515100000000001</v>
      </c>
      <c r="E103" s="138"/>
      <c r="F103" s="152">
        <f t="shared" si="30"/>
        <v>0</v>
      </c>
      <c r="G103" s="153"/>
      <c r="H103" s="152">
        <f t="shared" si="31"/>
        <v>0</v>
      </c>
      <c r="I103" s="138"/>
      <c r="J103" s="139">
        <f t="shared" si="32"/>
        <v>0</v>
      </c>
      <c r="K103" s="140">
        <f t="shared" si="33"/>
        <v>0</v>
      </c>
    </row>
    <row r="104" spans="1:11" s="141" customFormat="1" ht="13.8">
      <c r="A104" s="131"/>
      <c r="B104" s="136" t="s">
        <v>25</v>
      </c>
      <c r="C104" s="145" t="s">
        <v>26</v>
      </c>
      <c r="D104" s="222">
        <f>(D103+D102)*9</f>
        <v>3.1319189999999999</v>
      </c>
      <c r="E104" s="114"/>
      <c r="F104" s="139">
        <f t="shared" si="30"/>
        <v>0</v>
      </c>
      <c r="G104" s="138"/>
      <c r="H104" s="139">
        <f t="shared" si="31"/>
        <v>0</v>
      </c>
      <c r="I104" s="138"/>
      <c r="J104" s="139">
        <f t="shared" si="32"/>
        <v>0</v>
      </c>
      <c r="K104" s="140">
        <f t="shared" si="33"/>
        <v>0</v>
      </c>
    </row>
    <row r="105" spans="1:11" s="141" customFormat="1" ht="13.8">
      <c r="A105" s="131"/>
      <c r="B105" s="136" t="s">
        <v>27</v>
      </c>
      <c r="C105" s="137" t="s">
        <v>11</v>
      </c>
      <c r="D105" s="222">
        <f>D97</f>
        <v>2.5</v>
      </c>
      <c r="E105" s="153"/>
      <c r="F105" s="139">
        <f t="shared" si="30"/>
        <v>0</v>
      </c>
      <c r="G105" s="138"/>
      <c r="H105" s="139">
        <f t="shared" si="31"/>
        <v>0</v>
      </c>
      <c r="I105" s="138"/>
      <c r="J105" s="139">
        <f t="shared" si="32"/>
        <v>0</v>
      </c>
      <c r="K105" s="140">
        <f t="shared" si="33"/>
        <v>0</v>
      </c>
    </row>
    <row r="106" spans="1:11" s="141" customFormat="1" ht="13.8">
      <c r="A106" s="131"/>
      <c r="B106" s="136" t="s">
        <v>21</v>
      </c>
      <c r="C106" s="137" t="s">
        <v>20</v>
      </c>
      <c r="D106" s="222">
        <f>D97</f>
        <v>2.5</v>
      </c>
      <c r="E106" s="138"/>
      <c r="F106" s="139">
        <f t="shared" si="30"/>
        <v>0</v>
      </c>
      <c r="G106" s="138"/>
      <c r="H106" s="139">
        <f t="shared" si="31"/>
        <v>0</v>
      </c>
      <c r="I106" s="138"/>
      <c r="J106" s="139">
        <f t="shared" si="32"/>
        <v>0</v>
      </c>
      <c r="K106" s="140">
        <f t="shared" si="33"/>
        <v>0</v>
      </c>
    </row>
    <row r="107" spans="1:11" s="141" customFormat="1" ht="13.8">
      <c r="A107" s="154">
        <v>14</v>
      </c>
      <c r="B107" s="132" t="s">
        <v>179</v>
      </c>
      <c r="C107" s="133" t="s">
        <v>24</v>
      </c>
      <c r="D107" s="134">
        <f>(D111+D112+D113+D114)/1.05</f>
        <v>0.43790000000000001</v>
      </c>
      <c r="E107" s="135"/>
      <c r="F107" s="135"/>
      <c r="G107" s="135"/>
      <c r="H107" s="135"/>
      <c r="I107" s="135"/>
      <c r="J107" s="135"/>
      <c r="K107" s="135"/>
    </row>
    <row r="108" spans="1:11" s="141" customFormat="1" ht="13.8">
      <c r="A108" s="154"/>
      <c r="B108" s="146" t="s">
        <v>15</v>
      </c>
      <c r="C108" s="155" t="s">
        <v>24</v>
      </c>
      <c r="D108" s="222">
        <f>D107</f>
        <v>0.43790000000000001</v>
      </c>
      <c r="E108" s="153"/>
      <c r="F108" s="152">
        <f t="shared" si="14"/>
        <v>0</v>
      </c>
      <c r="G108" s="153"/>
      <c r="H108" s="152">
        <f t="shared" si="15"/>
        <v>0</v>
      </c>
      <c r="I108" s="153"/>
      <c r="J108" s="152">
        <f t="shared" si="16"/>
        <v>0</v>
      </c>
      <c r="K108" s="152">
        <f t="shared" si="17"/>
        <v>0</v>
      </c>
    </row>
    <row r="109" spans="1:11" s="141" customFormat="1" ht="13.8">
      <c r="A109" s="154"/>
      <c r="B109" s="146" t="s">
        <v>19</v>
      </c>
      <c r="C109" s="156" t="s">
        <v>20</v>
      </c>
      <c r="D109" s="222">
        <f>D107*50.2</f>
        <v>21.982580000000002</v>
      </c>
      <c r="E109" s="153"/>
      <c r="F109" s="152">
        <f t="shared" si="14"/>
        <v>0</v>
      </c>
      <c r="G109" s="153"/>
      <c r="H109" s="152">
        <f t="shared" si="15"/>
        <v>0</v>
      </c>
      <c r="I109" s="153"/>
      <c r="J109" s="152">
        <f t="shared" si="16"/>
        <v>0</v>
      </c>
      <c r="K109" s="152">
        <f t="shared" si="17"/>
        <v>0</v>
      </c>
    </row>
    <row r="110" spans="1:11" s="141" customFormat="1" ht="13.8">
      <c r="A110" s="154"/>
      <c r="B110" s="146" t="s">
        <v>16</v>
      </c>
      <c r="C110" s="156"/>
      <c r="D110" s="222"/>
      <c r="E110" s="153"/>
      <c r="F110" s="152"/>
      <c r="G110" s="153"/>
      <c r="H110" s="152"/>
      <c r="I110" s="153"/>
      <c r="J110" s="152"/>
      <c r="K110" s="152"/>
    </row>
    <row r="111" spans="1:11" s="141" customFormat="1" ht="13.8">
      <c r="A111" s="154"/>
      <c r="B111" s="146" t="s">
        <v>140</v>
      </c>
      <c r="C111" s="156" t="s">
        <v>88</v>
      </c>
      <c r="D111" s="222">
        <f>(383.6)*1.05/1000</f>
        <v>0.40278000000000003</v>
      </c>
      <c r="E111" s="153"/>
      <c r="F111" s="152">
        <f t="shared" si="14"/>
        <v>0</v>
      </c>
      <c r="G111" s="153"/>
      <c r="H111" s="152">
        <f t="shared" si="15"/>
        <v>0</v>
      </c>
      <c r="I111" s="153"/>
      <c r="J111" s="152">
        <f t="shared" si="16"/>
        <v>0</v>
      </c>
      <c r="K111" s="152">
        <f t="shared" si="17"/>
        <v>0</v>
      </c>
    </row>
    <row r="112" spans="1:11" s="141" customFormat="1" ht="13.8">
      <c r="A112" s="154"/>
      <c r="B112" s="146" t="s">
        <v>141</v>
      </c>
      <c r="C112" s="156" t="s">
        <v>88</v>
      </c>
      <c r="D112" s="222">
        <f>(23)*1.05/1000</f>
        <v>2.4150000000000001E-2</v>
      </c>
      <c r="E112" s="153"/>
      <c r="F112" s="152">
        <f t="shared" si="14"/>
        <v>0</v>
      </c>
      <c r="G112" s="153"/>
      <c r="H112" s="152">
        <f t="shared" si="15"/>
        <v>0</v>
      </c>
      <c r="I112" s="153"/>
      <c r="J112" s="152">
        <f t="shared" si="16"/>
        <v>0</v>
      </c>
      <c r="K112" s="152">
        <f t="shared" si="17"/>
        <v>0</v>
      </c>
    </row>
    <row r="113" spans="1:11" s="141" customFormat="1" ht="13.8">
      <c r="A113" s="154"/>
      <c r="B113" s="146" t="s">
        <v>142</v>
      </c>
      <c r="C113" s="155" t="s">
        <v>88</v>
      </c>
      <c r="D113" s="222">
        <f>(15.3)*1.05/1000</f>
        <v>1.6065000000000003E-2</v>
      </c>
      <c r="E113" s="153"/>
      <c r="F113" s="152">
        <f t="shared" si="14"/>
        <v>0</v>
      </c>
      <c r="G113" s="153"/>
      <c r="H113" s="152">
        <f t="shared" si="15"/>
        <v>0</v>
      </c>
      <c r="I113" s="153"/>
      <c r="J113" s="152">
        <f t="shared" si="16"/>
        <v>0</v>
      </c>
      <c r="K113" s="152">
        <f t="shared" si="17"/>
        <v>0</v>
      </c>
    </row>
    <row r="114" spans="1:11" s="141" customFormat="1" ht="13.8">
      <c r="A114" s="154"/>
      <c r="B114" s="146" t="s">
        <v>93</v>
      </c>
      <c r="C114" s="156" t="s">
        <v>88</v>
      </c>
      <c r="D114" s="222">
        <f>16*1.05/1000</f>
        <v>1.6800000000000002E-2</v>
      </c>
      <c r="E114" s="153"/>
      <c r="F114" s="152">
        <f t="shared" ref="F114" si="34">E114*D114</f>
        <v>0</v>
      </c>
      <c r="G114" s="153"/>
      <c r="H114" s="152">
        <f t="shared" ref="H114" si="35">G114*D114</f>
        <v>0</v>
      </c>
      <c r="I114" s="153"/>
      <c r="J114" s="152">
        <f t="shared" ref="J114" si="36">I114*D114</f>
        <v>0</v>
      </c>
      <c r="K114" s="152">
        <f t="shared" ref="K114" si="37">J114+H114+F114</f>
        <v>0</v>
      </c>
    </row>
    <row r="115" spans="1:11" s="141" customFormat="1" ht="13.8">
      <c r="A115" s="154"/>
      <c r="B115" s="146" t="s">
        <v>30</v>
      </c>
      <c r="C115" s="155" t="s">
        <v>26</v>
      </c>
      <c r="D115" s="222">
        <f>D107*25</f>
        <v>10.9475</v>
      </c>
      <c r="E115" s="153"/>
      <c r="F115" s="152">
        <f t="shared" si="14"/>
        <v>0</v>
      </c>
      <c r="G115" s="153"/>
      <c r="H115" s="152">
        <f t="shared" si="15"/>
        <v>0</v>
      </c>
      <c r="I115" s="153"/>
      <c r="J115" s="152">
        <f t="shared" si="16"/>
        <v>0</v>
      </c>
      <c r="K115" s="152">
        <f t="shared" si="17"/>
        <v>0</v>
      </c>
    </row>
    <row r="116" spans="1:11" s="141" customFormat="1" ht="13.8">
      <c r="A116" s="157"/>
      <c r="B116" s="158" t="s">
        <v>21</v>
      </c>
      <c r="C116" s="159" t="s">
        <v>20</v>
      </c>
      <c r="D116" s="227">
        <f>D107*36.7</f>
        <v>16.070930000000001</v>
      </c>
      <c r="E116" s="138"/>
      <c r="F116" s="152">
        <f t="shared" si="14"/>
        <v>0</v>
      </c>
      <c r="G116" s="160"/>
      <c r="H116" s="152">
        <f t="shared" si="15"/>
        <v>0</v>
      </c>
      <c r="I116" s="160"/>
      <c r="J116" s="152">
        <f t="shared" si="16"/>
        <v>0</v>
      </c>
      <c r="K116" s="152">
        <f t="shared" si="17"/>
        <v>0</v>
      </c>
    </row>
    <row r="117" spans="1:11" s="141" customFormat="1" ht="13.8">
      <c r="A117" s="154">
        <v>15</v>
      </c>
      <c r="B117" s="132" t="s">
        <v>169</v>
      </c>
      <c r="C117" s="133" t="s">
        <v>24</v>
      </c>
      <c r="D117" s="134">
        <f>(D121+D122+D123+D124+D125+D126)/1.05</f>
        <v>1.3817000000000002</v>
      </c>
      <c r="E117" s="135"/>
      <c r="F117" s="135"/>
      <c r="G117" s="135"/>
      <c r="H117" s="135"/>
      <c r="I117" s="135"/>
      <c r="J117" s="135"/>
      <c r="K117" s="135"/>
    </row>
    <row r="118" spans="1:11" s="141" customFormat="1" ht="13.8">
      <c r="A118" s="154"/>
      <c r="B118" s="146" t="s">
        <v>15</v>
      </c>
      <c r="C118" s="155" t="s">
        <v>24</v>
      </c>
      <c r="D118" s="222">
        <f>D117</f>
        <v>1.3817000000000002</v>
      </c>
      <c r="E118" s="153"/>
      <c r="F118" s="152">
        <f t="shared" si="14"/>
        <v>0</v>
      </c>
      <c r="G118" s="153"/>
      <c r="H118" s="152">
        <f t="shared" si="15"/>
        <v>0</v>
      </c>
      <c r="I118" s="153"/>
      <c r="J118" s="152">
        <f t="shared" si="16"/>
        <v>0</v>
      </c>
      <c r="K118" s="152">
        <f t="shared" si="17"/>
        <v>0</v>
      </c>
    </row>
    <row r="119" spans="1:11" s="141" customFormat="1" ht="13.8">
      <c r="A119" s="154"/>
      <c r="B119" s="146" t="s">
        <v>19</v>
      </c>
      <c r="C119" s="156" t="s">
        <v>20</v>
      </c>
      <c r="D119" s="222">
        <f>D117*50.2</f>
        <v>69.361340000000013</v>
      </c>
      <c r="E119" s="153"/>
      <c r="F119" s="152">
        <f t="shared" si="14"/>
        <v>0</v>
      </c>
      <c r="G119" s="153"/>
      <c r="H119" s="152">
        <f t="shared" si="15"/>
        <v>0</v>
      </c>
      <c r="I119" s="153"/>
      <c r="J119" s="152">
        <f t="shared" si="16"/>
        <v>0</v>
      </c>
      <c r="K119" s="152">
        <f t="shared" si="17"/>
        <v>0</v>
      </c>
    </row>
    <row r="120" spans="1:11" s="141" customFormat="1" ht="13.8">
      <c r="A120" s="154"/>
      <c r="B120" s="146" t="s">
        <v>16</v>
      </c>
      <c r="C120" s="156"/>
      <c r="D120" s="222"/>
      <c r="E120" s="153"/>
      <c r="F120" s="152"/>
      <c r="G120" s="153"/>
      <c r="H120" s="152"/>
      <c r="I120" s="153"/>
      <c r="J120" s="152"/>
      <c r="K120" s="152"/>
    </row>
    <row r="121" spans="1:11" s="141" customFormat="1" ht="13.8">
      <c r="A121" s="154"/>
      <c r="B121" s="146" t="s">
        <v>143</v>
      </c>
      <c r="C121" s="156" t="s">
        <v>88</v>
      </c>
      <c r="D121" s="222">
        <f>761.6*1.05/1000</f>
        <v>0.79968000000000006</v>
      </c>
      <c r="E121" s="153"/>
      <c r="F121" s="152">
        <f t="shared" si="14"/>
        <v>0</v>
      </c>
      <c r="G121" s="153"/>
      <c r="H121" s="152">
        <f t="shared" si="15"/>
        <v>0</v>
      </c>
      <c r="I121" s="153"/>
      <c r="J121" s="152">
        <f t="shared" si="16"/>
        <v>0</v>
      </c>
      <c r="K121" s="152">
        <f t="shared" si="17"/>
        <v>0</v>
      </c>
    </row>
    <row r="122" spans="1:11" s="141" customFormat="1" ht="13.8">
      <c r="A122" s="154"/>
      <c r="B122" s="146" t="s">
        <v>144</v>
      </c>
      <c r="C122" s="156" t="s">
        <v>88</v>
      </c>
      <c r="D122" s="222">
        <f>485.4*1.05/1000</f>
        <v>0.50967000000000007</v>
      </c>
      <c r="E122" s="153"/>
      <c r="F122" s="152">
        <f t="shared" si="14"/>
        <v>0</v>
      </c>
      <c r="G122" s="153"/>
      <c r="H122" s="152">
        <f t="shared" si="15"/>
        <v>0</v>
      </c>
      <c r="I122" s="153"/>
      <c r="J122" s="152">
        <f t="shared" si="16"/>
        <v>0</v>
      </c>
      <c r="K122" s="152">
        <f t="shared" si="17"/>
        <v>0</v>
      </c>
    </row>
    <row r="123" spans="1:11" s="141" customFormat="1" ht="13.8">
      <c r="A123" s="154"/>
      <c r="B123" s="146" t="s">
        <v>145</v>
      </c>
      <c r="C123" s="156" t="s">
        <v>88</v>
      </c>
      <c r="D123" s="222">
        <f>36.2*1.05/1000</f>
        <v>3.8010000000000002E-2</v>
      </c>
      <c r="E123" s="153"/>
      <c r="F123" s="152">
        <f t="shared" si="14"/>
        <v>0</v>
      </c>
      <c r="G123" s="153"/>
      <c r="H123" s="152">
        <f t="shared" si="15"/>
        <v>0</v>
      </c>
      <c r="I123" s="153"/>
      <c r="J123" s="152">
        <f t="shared" si="16"/>
        <v>0</v>
      </c>
      <c r="K123" s="152">
        <f t="shared" si="17"/>
        <v>0</v>
      </c>
    </row>
    <row r="124" spans="1:11" s="141" customFormat="1" ht="13.8">
      <c r="A124" s="154"/>
      <c r="B124" s="146" t="s">
        <v>146</v>
      </c>
      <c r="C124" s="156" t="s">
        <v>88</v>
      </c>
      <c r="D124" s="222">
        <f>34.5*1.05/1000</f>
        <v>3.6225E-2</v>
      </c>
      <c r="E124" s="153"/>
      <c r="F124" s="152">
        <f t="shared" si="14"/>
        <v>0</v>
      </c>
      <c r="G124" s="153"/>
      <c r="H124" s="152">
        <f t="shared" si="15"/>
        <v>0</v>
      </c>
      <c r="I124" s="153"/>
      <c r="J124" s="152">
        <f t="shared" si="16"/>
        <v>0</v>
      </c>
      <c r="K124" s="152">
        <f t="shared" si="17"/>
        <v>0</v>
      </c>
    </row>
    <row r="125" spans="1:11" s="141" customFormat="1" ht="13.8">
      <c r="A125" s="154"/>
      <c r="B125" s="146" t="s">
        <v>147</v>
      </c>
      <c r="C125" s="156" t="s">
        <v>88</v>
      </c>
      <c r="D125" s="222">
        <f>58*1.05/1000</f>
        <v>6.0900000000000003E-2</v>
      </c>
      <c r="E125" s="153"/>
      <c r="F125" s="152">
        <f t="shared" si="14"/>
        <v>0</v>
      </c>
      <c r="G125" s="153"/>
      <c r="H125" s="152">
        <f t="shared" si="15"/>
        <v>0</v>
      </c>
      <c r="I125" s="153"/>
      <c r="J125" s="152">
        <f t="shared" si="16"/>
        <v>0</v>
      </c>
      <c r="K125" s="152">
        <f t="shared" si="17"/>
        <v>0</v>
      </c>
    </row>
    <row r="126" spans="1:11" s="141" customFormat="1" ht="13.8">
      <c r="A126" s="154"/>
      <c r="B126" s="146" t="s">
        <v>93</v>
      </c>
      <c r="C126" s="156" t="s">
        <v>88</v>
      </c>
      <c r="D126" s="222">
        <f>6*1.05/1000</f>
        <v>6.3000000000000009E-3</v>
      </c>
      <c r="E126" s="153"/>
      <c r="F126" s="152">
        <f t="shared" si="14"/>
        <v>0</v>
      </c>
      <c r="G126" s="153"/>
      <c r="H126" s="152">
        <f t="shared" si="15"/>
        <v>0</v>
      </c>
      <c r="I126" s="153"/>
      <c r="J126" s="152">
        <f t="shared" si="16"/>
        <v>0</v>
      </c>
      <c r="K126" s="152">
        <f t="shared" si="17"/>
        <v>0</v>
      </c>
    </row>
    <row r="127" spans="1:11" s="141" customFormat="1" ht="13.8">
      <c r="A127" s="154"/>
      <c r="B127" s="146" t="s">
        <v>148</v>
      </c>
      <c r="C127" s="156" t="s">
        <v>31</v>
      </c>
      <c r="D127" s="222">
        <f>105</f>
        <v>105</v>
      </c>
      <c r="E127" s="153"/>
      <c r="F127" s="152">
        <f t="shared" si="14"/>
        <v>0</v>
      </c>
      <c r="G127" s="153"/>
      <c r="H127" s="152">
        <f t="shared" si="15"/>
        <v>0</v>
      </c>
      <c r="I127" s="153"/>
      <c r="J127" s="152">
        <f t="shared" si="16"/>
        <v>0</v>
      </c>
      <c r="K127" s="152">
        <f t="shared" si="17"/>
        <v>0</v>
      </c>
    </row>
    <row r="128" spans="1:11" s="141" customFormat="1" ht="13.8">
      <c r="A128" s="154"/>
      <c r="B128" s="146" t="s">
        <v>30</v>
      </c>
      <c r="C128" s="155" t="s">
        <v>26</v>
      </c>
      <c r="D128" s="222">
        <f>D117*25</f>
        <v>34.542500000000004</v>
      </c>
      <c r="E128" s="153"/>
      <c r="F128" s="152">
        <f t="shared" si="14"/>
        <v>0</v>
      </c>
      <c r="G128" s="153"/>
      <c r="H128" s="152">
        <f t="shared" si="15"/>
        <v>0</v>
      </c>
      <c r="I128" s="153"/>
      <c r="J128" s="152">
        <f t="shared" si="16"/>
        <v>0</v>
      </c>
      <c r="K128" s="152">
        <f t="shared" si="17"/>
        <v>0</v>
      </c>
    </row>
    <row r="129" spans="1:11" s="141" customFormat="1" ht="13.8">
      <c r="A129" s="157"/>
      <c r="B129" s="158" t="s">
        <v>21</v>
      </c>
      <c r="C129" s="159" t="s">
        <v>20</v>
      </c>
      <c r="D129" s="227">
        <f>D117*36.7</f>
        <v>50.708390000000009</v>
      </c>
      <c r="E129" s="153"/>
      <c r="F129" s="152">
        <f t="shared" si="14"/>
        <v>0</v>
      </c>
      <c r="G129" s="160"/>
      <c r="H129" s="152">
        <f t="shared" si="15"/>
        <v>0</v>
      </c>
      <c r="I129" s="160"/>
      <c r="J129" s="152">
        <f t="shared" si="16"/>
        <v>0</v>
      </c>
      <c r="K129" s="152">
        <f t="shared" si="17"/>
        <v>0</v>
      </c>
    </row>
    <row r="130" spans="1:11" s="141" customFormat="1" ht="13.8">
      <c r="A130" s="191">
        <v>16</v>
      </c>
      <c r="B130" s="132" t="s">
        <v>151</v>
      </c>
      <c r="C130" s="191" t="s">
        <v>24</v>
      </c>
      <c r="D130" s="134">
        <f>SUM(D134:D137)</f>
        <v>0.28192500000000004</v>
      </c>
      <c r="E130" s="192"/>
      <c r="F130" s="192"/>
      <c r="G130" s="192"/>
      <c r="H130" s="192"/>
      <c r="I130" s="192"/>
      <c r="J130" s="192"/>
      <c r="K130" s="192"/>
    </row>
    <row r="131" spans="1:11" s="141" customFormat="1" ht="13.8">
      <c r="A131" s="131"/>
      <c r="B131" s="136" t="s">
        <v>15</v>
      </c>
      <c r="C131" s="182" t="s">
        <v>170</v>
      </c>
      <c r="D131" s="228">
        <v>1</v>
      </c>
      <c r="E131" s="183"/>
      <c r="F131" s="184">
        <f t="shared" ref="F131:F139" si="38">E131*D131</f>
        <v>0</v>
      </c>
      <c r="G131" s="183"/>
      <c r="H131" s="184">
        <f t="shared" ref="H131:H139" si="39">G131*D131</f>
        <v>0</v>
      </c>
      <c r="I131" s="183"/>
      <c r="J131" s="184">
        <f t="shared" ref="J131:J139" si="40">I131*D131</f>
        <v>0</v>
      </c>
      <c r="K131" s="185">
        <f t="shared" ref="K131:K139" si="41">J131+H131+F131</f>
        <v>0</v>
      </c>
    </row>
    <row r="132" spans="1:11" s="141" customFormat="1" ht="13.8">
      <c r="A132" s="131"/>
      <c r="B132" s="136" t="s">
        <v>19</v>
      </c>
      <c r="C132" s="186" t="s">
        <v>20</v>
      </c>
      <c r="D132" s="228">
        <f>D130*50.2</f>
        <v>14.152635000000002</v>
      </c>
      <c r="E132" s="183"/>
      <c r="F132" s="184">
        <f t="shared" si="38"/>
        <v>0</v>
      </c>
      <c r="G132" s="183"/>
      <c r="H132" s="184">
        <f t="shared" si="39"/>
        <v>0</v>
      </c>
      <c r="I132" s="183"/>
      <c r="J132" s="184">
        <f t="shared" si="40"/>
        <v>0</v>
      </c>
      <c r="K132" s="185">
        <f t="shared" si="41"/>
        <v>0</v>
      </c>
    </row>
    <row r="133" spans="1:11" s="141" customFormat="1" ht="13.8">
      <c r="A133" s="131"/>
      <c r="B133" s="136" t="s">
        <v>16</v>
      </c>
      <c r="C133" s="186"/>
      <c r="D133" s="228"/>
      <c r="E133" s="183"/>
      <c r="F133" s="184"/>
      <c r="G133" s="183"/>
      <c r="H133" s="184"/>
      <c r="I133" s="183"/>
      <c r="J133" s="184"/>
      <c r="K133" s="185"/>
    </row>
    <row r="134" spans="1:11" s="141" customFormat="1" ht="13.8">
      <c r="A134" s="131"/>
      <c r="B134" s="146" t="s">
        <v>181</v>
      </c>
      <c r="C134" s="156" t="s">
        <v>88</v>
      </c>
      <c r="D134" s="222">
        <f>(134.6)*1.05/1000</f>
        <v>0.14133000000000001</v>
      </c>
      <c r="E134" s="153"/>
      <c r="F134" s="152">
        <f t="shared" ref="F134:F137" si="42">E134*D134</f>
        <v>0</v>
      </c>
      <c r="G134" s="153"/>
      <c r="H134" s="152">
        <f t="shared" ref="H134:H137" si="43">G134*D134</f>
        <v>0</v>
      </c>
      <c r="I134" s="153"/>
      <c r="J134" s="152">
        <f t="shared" ref="J134:J137" si="44">I134*D134</f>
        <v>0</v>
      </c>
      <c r="K134" s="152">
        <f t="shared" ref="K134:K137" si="45">J134+H134+F134</f>
        <v>0</v>
      </c>
    </row>
    <row r="135" spans="1:11" s="141" customFormat="1" ht="13.8">
      <c r="A135" s="154"/>
      <c r="B135" s="146" t="s">
        <v>180</v>
      </c>
      <c r="C135" s="156" t="s">
        <v>88</v>
      </c>
      <c r="D135" s="222">
        <f>122.1*1.05/1000</f>
        <v>0.12820500000000001</v>
      </c>
      <c r="E135" s="153"/>
      <c r="F135" s="152">
        <f t="shared" si="42"/>
        <v>0</v>
      </c>
      <c r="G135" s="153"/>
      <c r="H135" s="152">
        <f t="shared" si="43"/>
        <v>0</v>
      </c>
      <c r="I135" s="153"/>
      <c r="J135" s="152">
        <f t="shared" si="44"/>
        <v>0</v>
      </c>
      <c r="K135" s="152">
        <f t="shared" si="45"/>
        <v>0</v>
      </c>
    </row>
    <row r="136" spans="1:11" s="141" customFormat="1" ht="13.8">
      <c r="A136" s="154"/>
      <c r="B136" s="146" t="s">
        <v>141</v>
      </c>
      <c r="C136" s="156" t="s">
        <v>88</v>
      </c>
      <c r="D136" s="222">
        <f>5.8*1.05/1000</f>
        <v>6.0899999999999999E-3</v>
      </c>
      <c r="E136" s="153"/>
      <c r="F136" s="152">
        <f t="shared" si="42"/>
        <v>0</v>
      </c>
      <c r="G136" s="153"/>
      <c r="H136" s="152">
        <f t="shared" si="43"/>
        <v>0</v>
      </c>
      <c r="I136" s="153"/>
      <c r="J136" s="152">
        <f t="shared" si="44"/>
        <v>0</v>
      </c>
      <c r="K136" s="152">
        <f t="shared" si="45"/>
        <v>0</v>
      </c>
    </row>
    <row r="137" spans="1:11" s="141" customFormat="1" ht="13.8">
      <c r="A137" s="131"/>
      <c r="B137" s="136" t="s">
        <v>93</v>
      </c>
      <c r="C137" s="145" t="s">
        <v>88</v>
      </c>
      <c r="D137" s="222">
        <f>(6)*1.05/1000</f>
        <v>6.3000000000000009E-3</v>
      </c>
      <c r="E137" s="138"/>
      <c r="F137" s="139">
        <f t="shared" si="42"/>
        <v>0</v>
      </c>
      <c r="G137" s="138"/>
      <c r="H137" s="139">
        <f t="shared" si="43"/>
        <v>0</v>
      </c>
      <c r="I137" s="138"/>
      <c r="J137" s="139">
        <f t="shared" si="44"/>
        <v>0</v>
      </c>
      <c r="K137" s="139">
        <f t="shared" si="45"/>
        <v>0</v>
      </c>
    </row>
    <row r="138" spans="1:11" s="141" customFormat="1" ht="13.8">
      <c r="A138" s="131"/>
      <c r="B138" s="136" t="s">
        <v>30</v>
      </c>
      <c r="C138" s="182" t="s">
        <v>26</v>
      </c>
      <c r="D138" s="228">
        <f>D130*25</f>
        <v>7.0481250000000006</v>
      </c>
      <c r="E138" s="183"/>
      <c r="F138" s="184">
        <f t="shared" si="38"/>
        <v>0</v>
      </c>
      <c r="G138" s="183"/>
      <c r="H138" s="184">
        <f t="shared" si="39"/>
        <v>0</v>
      </c>
      <c r="I138" s="183"/>
      <c r="J138" s="184">
        <f t="shared" si="40"/>
        <v>0</v>
      </c>
      <c r="K138" s="185">
        <f t="shared" si="41"/>
        <v>0</v>
      </c>
    </row>
    <row r="139" spans="1:11" s="141" customFormat="1" ht="13.8">
      <c r="A139" s="187"/>
      <c r="B139" s="188" t="s">
        <v>21</v>
      </c>
      <c r="C139" s="189" t="s">
        <v>20</v>
      </c>
      <c r="D139" s="229">
        <f>D130*36.7</f>
        <v>10.346647500000001</v>
      </c>
      <c r="E139" s="183"/>
      <c r="F139" s="184">
        <f t="shared" si="38"/>
        <v>0</v>
      </c>
      <c r="G139" s="190"/>
      <c r="H139" s="184">
        <f t="shared" si="39"/>
        <v>0</v>
      </c>
      <c r="I139" s="190"/>
      <c r="J139" s="184">
        <f t="shared" si="40"/>
        <v>0</v>
      </c>
      <c r="K139" s="185">
        <f t="shared" si="41"/>
        <v>0</v>
      </c>
    </row>
    <row r="140" spans="1:11" s="141" customFormat="1" ht="13.8">
      <c r="A140" s="131">
        <v>17</v>
      </c>
      <c r="B140" s="196" t="s">
        <v>149</v>
      </c>
      <c r="C140" s="131" t="s">
        <v>11</v>
      </c>
      <c r="D140" s="221">
        <v>4.7</v>
      </c>
      <c r="E140" s="139"/>
      <c r="F140" s="139"/>
      <c r="G140" s="139"/>
      <c r="H140" s="139"/>
      <c r="I140" s="139"/>
      <c r="J140" s="139"/>
      <c r="K140" s="139"/>
    </row>
    <row r="141" spans="1:11" s="141" customFormat="1" ht="13.8">
      <c r="A141" s="131"/>
      <c r="B141" s="136" t="s">
        <v>150</v>
      </c>
      <c r="C141" s="137" t="s">
        <v>11</v>
      </c>
      <c r="D141" s="222">
        <f>D140</f>
        <v>4.7</v>
      </c>
      <c r="E141" s="138"/>
      <c r="F141" s="139">
        <f t="shared" ref="F141:F142" si="46">E141*D141</f>
        <v>0</v>
      </c>
      <c r="G141" s="138"/>
      <c r="H141" s="139">
        <f t="shared" ref="H141:H142" si="47">G141*D141</f>
        <v>0</v>
      </c>
      <c r="I141" s="138"/>
      <c r="J141" s="139">
        <f t="shared" ref="J141:J142" si="48">I141*D141</f>
        <v>0</v>
      </c>
      <c r="K141" s="139">
        <f t="shared" ref="K141:K142" si="49">J141+H141+F141</f>
        <v>0</v>
      </c>
    </row>
    <row r="142" spans="1:11" s="161" customFormat="1" ht="13.8">
      <c r="A142" s="131"/>
      <c r="B142" s="136" t="s">
        <v>19</v>
      </c>
      <c r="C142" s="145" t="s">
        <v>20</v>
      </c>
      <c r="D142" s="222">
        <f>D140</f>
        <v>4.7</v>
      </c>
      <c r="E142" s="138"/>
      <c r="F142" s="139">
        <f t="shared" si="46"/>
        <v>0</v>
      </c>
      <c r="G142" s="138"/>
      <c r="H142" s="139">
        <f t="shared" si="47"/>
        <v>0</v>
      </c>
      <c r="I142" s="138"/>
      <c r="J142" s="139">
        <f t="shared" si="48"/>
        <v>0</v>
      </c>
      <c r="K142" s="139">
        <f t="shared" si="49"/>
        <v>0</v>
      </c>
    </row>
    <row r="143" spans="1:11" s="130" customFormat="1" ht="13.8">
      <c r="A143" s="131"/>
      <c r="B143" s="136" t="s">
        <v>16</v>
      </c>
      <c r="C143" s="145"/>
      <c r="D143" s="222"/>
      <c r="E143" s="138"/>
      <c r="F143" s="139"/>
      <c r="G143" s="138"/>
      <c r="H143" s="139"/>
      <c r="I143" s="138"/>
      <c r="J143" s="139"/>
      <c r="K143" s="139"/>
    </row>
    <row r="144" spans="1:11" s="161" customFormat="1" ht="13.8">
      <c r="A144" s="131"/>
      <c r="B144" s="136" t="s">
        <v>22</v>
      </c>
      <c r="C144" s="137" t="s">
        <v>11</v>
      </c>
      <c r="D144" s="222">
        <f>D140*1.02</f>
        <v>4.7940000000000005</v>
      </c>
      <c r="E144" s="138"/>
      <c r="F144" s="139">
        <f t="shared" ref="F144:F149" si="50">E144*D144</f>
        <v>0</v>
      </c>
      <c r="G144" s="138"/>
      <c r="H144" s="139">
        <f t="shared" ref="H144:H149" si="51">G144*D144</f>
        <v>0</v>
      </c>
      <c r="I144" s="138"/>
      <c r="J144" s="139">
        <f t="shared" ref="J144:J149" si="52">I144*D144</f>
        <v>0</v>
      </c>
      <c r="K144" s="139">
        <f t="shared" ref="K144:K149" si="53">J144+H144+F144</f>
        <v>0</v>
      </c>
    </row>
    <row r="145" spans="1:11" s="141" customFormat="1" ht="13.8">
      <c r="A145" s="131"/>
      <c r="B145" s="136" t="s">
        <v>89</v>
      </c>
      <c r="C145" s="145" t="s">
        <v>88</v>
      </c>
      <c r="D145" s="222">
        <f>(18.36)*1.05/1000</f>
        <v>1.9278E-2</v>
      </c>
      <c r="E145" s="138"/>
      <c r="F145" s="139">
        <f t="shared" si="50"/>
        <v>0</v>
      </c>
      <c r="G145" s="138"/>
      <c r="H145" s="139">
        <f t="shared" si="51"/>
        <v>0</v>
      </c>
      <c r="I145" s="138"/>
      <c r="J145" s="139">
        <f t="shared" si="52"/>
        <v>0</v>
      </c>
      <c r="K145" s="139">
        <f t="shared" si="53"/>
        <v>0</v>
      </c>
    </row>
    <row r="146" spans="1:11" s="141" customFormat="1" ht="13.8">
      <c r="A146" s="131"/>
      <c r="B146" s="136" t="s">
        <v>90</v>
      </c>
      <c r="C146" s="145" t="s">
        <v>88</v>
      </c>
      <c r="D146" s="222">
        <f>(136.1+113.4+40.3)*1.05/1000</f>
        <v>0.30429</v>
      </c>
      <c r="E146" s="138"/>
      <c r="F146" s="139">
        <f t="shared" si="50"/>
        <v>0</v>
      </c>
      <c r="G146" s="138"/>
      <c r="H146" s="139">
        <f t="shared" si="51"/>
        <v>0</v>
      </c>
      <c r="I146" s="138"/>
      <c r="J146" s="139">
        <f t="shared" si="52"/>
        <v>0</v>
      </c>
      <c r="K146" s="139">
        <f t="shared" si="53"/>
        <v>0</v>
      </c>
    </row>
    <row r="147" spans="1:11" s="141" customFormat="1" ht="13.8">
      <c r="A147" s="131"/>
      <c r="B147" s="136" t="s">
        <v>25</v>
      </c>
      <c r="C147" s="145" t="s">
        <v>26</v>
      </c>
      <c r="D147" s="222">
        <f>(D146+D145)*9</f>
        <v>2.912112</v>
      </c>
      <c r="E147" s="197"/>
      <c r="F147" s="139">
        <f t="shared" si="50"/>
        <v>0</v>
      </c>
      <c r="G147" s="138"/>
      <c r="H147" s="139">
        <f t="shared" si="51"/>
        <v>0</v>
      </c>
      <c r="I147" s="138"/>
      <c r="J147" s="139">
        <f t="shared" si="52"/>
        <v>0</v>
      </c>
      <c r="K147" s="139">
        <f t="shared" si="53"/>
        <v>0</v>
      </c>
    </row>
    <row r="148" spans="1:11" s="141" customFormat="1" ht="13.8">
      <c r="A148" s="131"/>
      <c r="B148" s="136" t="s">
        <v>27</v>
      </c>
      <c r="C148" s="137" t="s">
        <v>11</v>
      </c>
      <c r="D148" s="222">
        <f>D140</f>
        <v>4.7</v>
      </c>
      <c r="E148" s="138"/>
      <c r="F148" s="139">
        <f t="shared" si="50"/>
        <v>0</v>
      </c>
      <c r="G148" s="138"/>
      <c r="H148" s="139">
        <f t="shared" si="51"/>
        <v>0</v>
      </c>
      <c r="I148" s="138"/>
      <c r="J148" s="139">
        <f t="shared" si="52"/>
        <v>0</v>
      </c>
      <c r="K148" s="139">
        <f t="shared" si="53"/>
        <v>0</v>
      </c>
    </row>
    <row r="149" spans="1:11" s="141" customFormat="1" ht="13.8">
      <c r="A149" s="131"/>
      <c r="B149" s="136" t="s">
        <v>21</v>
      </c>
      <c r="C149" s="137" t="s">
        <v>20</v>
      </c>
      <c r="D149" s="222">
        <f>D140</f>
        <v>4.7</v>
      </c>
      <c r="E149" s="138"/>
      <c r="F149" s="139">
        <f t="shared" si="50"/>
        <v>0</v>
      </c>
      <c r="G149" s="138"/>
      <c r="H149" s="139">
        <f t="shared" si="51"/>
        <v>0</v>
      </c>
      <c r="I149" s="138"/>
      <c r="J149" s="139">
        <f t="shared" si="52"/>
        <v>0</v>
      </c>
      <c r="K149" s="139">
        <f t="shared" si="53"/>
        <v>0</v>
      </c>
    </row>
    <row r="150" spans="1:11">
      <c r="A150" s="131">
        <v>18</v>
      </c>
      <c r="B150" s="162" t="s">
        <v>33</v>
      </c>
      <c r="C150" s="133" t="s">
        <v>11</v>
      </c>
      <c r="D150" s="134">
        <f>D80+D70+D60+D36+D30+D90+D101+D144</f>
        <v>269.58600000000001</v>
      </c>
      <c r="E150" s="163"/>
      <c r="F150" s="135">
        <f>E150*D150</f>
        <v>0</v>
      </c>
      <c r="G150" s="142"/>
      <c r="H150" s="135">
        <f>G150*D150</f>
        <v>0</v>
      </c>
      <c r="I150" s="142"/>
      <c r="J150" s="135">
        <f>I150*D150</f>
        <v>0</v>
      </c>
      <c r="K150" s="135">
        <f>J150+H150+F150</f>
        <v>0</v>
      </c>
    </row>
    <row r="151" spans="1:11">
      <c r="A151" s="131">
        <v>19</v>
      </c>
      <c r="B151" s="132" t="s">
        <v>119</v>
      </c>
      <c r="C151" s="133" t="s">
        <v>120</v>
      </c>
      <c r="D151" s="134">
        <v>30</v>
      </c>
      <c r="E151" s="163"/>
      <c r="F151" s="135">
        <f t="shared" ref="F151:F152" si="54">E151*D151</f>
        <v>0</v>
      </c>
      <c r="G151" s="142"/>
      <c r="H151" s="135">
        <f t="shared" ref="H151:H152" si="55">G151*D151</f>
        <v>0</v>
      </c>
      <c r="I151" s="142"/>
      <c r="J151" s="135">
        <f t="shared" ref="J151:J152" si="56">I151*D151</f>
        <v>0</v>
      </c>
      <c r="K151" s="135">
        <f t="shared" ref="K151:K152" si="57">J151+H151+F151</f>
        <v>0</v>
      </c>
    </row>
    <row r="152" spans="1:11">
      <c r="A152" s="131">
        <v>20</v>
      </c>
      <c r="B152" s="162" t="s">
        <v>32</v>
      </c>
      <c r="C152" s="133" t="s">
        <v>121</v>
      </c>
      <c r="D152" s="134">
        <f>2*3*30</f>
        <v>180</v>
      </c>
      <c r="E152" s="163"/>
      <c r="F152" s="135">
        <f t="shared" si="54"/>
        <v>0</v>
      </c>
      <c r="G152" s="142"/>
      <c r="H152" s="135">
        <f t="shared" si="55"/>
        <v>0</v>
      </c>
      <c r="I152" s="142"/>
      <c r="J152" s="135">
        <f t="shared" si="56"/>
        <v>0</v>
      </c>
      <c r="K152" s="135">
        <f t="shared" si="57"/>
        <v>0</v>
      </c>
    </row>
    <row r="153" spans="1:11">
      <c r="A153" s="165"/>
      <c r="B153" s="166" t="s">
        <v>34</v>
      </c>
      <c r="C153" s="167"/>
      <c r="D153" s="168"/>
      <c r="E153" s="169"/>
      <c r="F153" s="252">
        <f>SUM(F11:F152)</f>
        <v>0</v>
      </c>
      <c r="G153" s="252"/>
      <c r="H153" s="252">
        <f>SUM(H11:H152)</f>
        <v>0</v>
      </c>
      <c r="I153" s="252"/>
      <c r="J153" s="252">
        <f>SUM(J11:J152)</f>
        <v>0</v>
      </c>
      <c r="K153" s="252">
        <f>SUM(K11:K152)</f>
        <v>0</v>
      </c>
    </row>
    <row r="154" spans="1:11">
      <c r="A154" s="170"/>
      <c r="B154" s="171" t="s">
        <v>35</v>
      </c>
      <c r="C154" s="172"/>
      <c r="D154" s="173"/>
      <c r="E154" s="174"/>
      <c r="F154" s="253"/>
      <c r="G154" s="253"/>
      <c r="H154" s="253"/>
      <c r="I154" s="253"/>
      <c r="J154" s="253"/>
      <c r="K154" s="253">
        <f>F153*C154</f>
        <v>0</v>
      </c>
    </row>
    <row r="155" spans="1:11">
      <c r="A155" s="170"/>
      <c r="B155" s="154" t="s">
        <v>34</v>
      </c>
      <c r="C155" s="175"/>
      <c r="D155" s="173"/>
      <c r="E155" s="174"/>
      <c r="F155" s="253"/>
      <c r="G155" s="253"/>
      <c r="H155" s="253"/>
      <c r="I155" s="253"/>
      <c r="J155" s="253"/>
      <c r="K155" s="253">
        <f>SUM(K153:K154)</f>
        <v>0</v>
      </c>
    </row>
    <row r="156" spans="1:11">
      <c r="A156" s="170"/>
      <c r="B156" s="154" t="s">
        <v>36</v>
      </c>
      <c r="C156" s="176"/>
      <c r="D156" s="173"/>
      <c r="E156" s="174"/>
      <c r="F156" s="253"/>
      <c r="G156" s="253"/>
      <c r="H156" s="253"/>
      <c r="I156" s="253"/>
      <c r="J156" s="253"/>
      <c r="K156" s="253">
        <f>K155*C156</f>
        <v>0</v>
      </c>
    </row>
    <row r="157" spans="1:11">
      <c r="A157" s="170"/>
      <c r="B157" s="154" t="s">
        <v>34</v>
      </c>
      <c r="C157" s="175"/>
      <c r="D157" s="173"/>
      <c r="E157" s="174"/>
      <c r="F157" s="253"/>
      <c r="G157" s="253"/>
      <c r="H157" s="253"/>
      <c r="I157" s="253"/>
      <c r="J157" s="253"/>
      <c r="K157" s="253">
        <f>SUM(K155:K156)</f>
        <v>0</v>
      </c>
    </row>
    <row r="158" spans="1:11">
      <c r="A158" s="170"/>
      <c r="B158" s="154" t="s">
        <v>37</v>
      </c>
      <c r="C158" s="177"/>
      <c r="D158" s="173"/>
      <c r="E158" s="174"/>
      <c r="F158" s="253"/>
      <c r="G158" s="253"/>
      <c r="H158" s="253"/>
      <c r="I158" s="253"/>
      <c r="J158" s="253"/>
      <c r="K158" s="253">
        <f>K157*C158</f>
        <v>0</v>
      </c>
    </row>
    <row r="159" spans="1:11">
      <c r="A159" s="170"/>
      <c r="B159" s="154" t="s">
        <v>34</v>
      </c>
      <c r="C159" s="175"/>
      <c r="D159" s="173"/>
      <c r="E159" s="174"/>
      <c r="F159" s="253"/>
      <c r="G159" s="253"/>
      <c r="H159" s="253"/>
      <c r="I159" s="253"/>
      <c r="J159" s="253"/>
      <c r="K159" s="253">
        <f>SUM(K157:K158)</f>
        <v>0</v>
      </c>
    </row>
    <row r="160" spans="1:11">
      <c r="A160" s="170"/>
      <c r="B160" s="154" t="s">
        <v>38</v>
      </c>
      <c r="C160" s="178"/>
      <c r="D160" s="173"/>
      <c r="E160" s="174"/>
      <c r="F160" s="253"/>
      <c r="G160" s="253"/>
      <c r="H160" s="253"/>
      <c r="I160" s="253"/>
      <c r="J160" s="253"/>
      <c r="K160" s="253">
        <f>K159*C160</f>
        <v>0</v>
      </c>
    </row>
    <row r="161" spans="1:11">
      <c r="A161" s="165"/>
      <c r="B161" s="166" t="s">
        <v>34</v>
      </c>
      <c r="C161" s="167"/>
      <c r="D161" s="168"/>
      <c r="E161" s="169"/>
      <c r="F161" s="252"/>
      <c r="G161" s="252"/>
      <c r="H161" s="252"/>
      <c r="I161" s="252"/>
      <c r="J161" s="252"/>
      <c r="K161" s="252">
        <f>SUM(K159:K160)</f>
        <v>0</v>
      </c>
    </row>
    <row r="163" spans="1:11">
      <c r="K163" s="180"/>
    </row>
    <row r="165" spans="1:11">
      <c r="H165" s="181"/>
    </row>
    <row r="166" spans="1:11">
      <c r="H166" s="181"/>
    </row>
    <row r="168" spans="1:11">
      <c r="K168" s="181"/>
    </row>
    <row r="169" spans="1:11">
      <c r="H169" s="181"/>
    </row>
  </sheetData>
  <autoFilter ref="A8:K161" xr:uid="{E5DBDBDD-648D-4AD7-81EB-C893551F54E9}"/>
  <mergeCells count="9">
    <mergeCell ref="I8:J8"/>
    <mergeCell ref="A6:B6"/>
    <mergeCell ref="A2:K2"/>
    <mergeCell ref="A3:K3"/>
    <mergeCell ref="B8:B9"/>
    <mergeCell ref="C8:C9"/>
    <mergeCell ref="A8:A9"/>
    <mergeCell ref="E8:F8"/>
    <mergeCell ref="G8:H8"/>
  </mergeCells>
  <phoneticPr fontId="34" type="noConversion"/>
  <printOptions horizontalCentered="1"/>
  <pageMargins left="0" right="0" top="0.39370078740157483" bottom="0.39370078740157483" header="0" footer="0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8CC91-75A0-4969-934E-1A1E8DD7C681}">
  <sheetPr>
    <tabColor rgb="FF92D050"/>
    <pageSetUpPr fitToPage="1"/>
  </sheetPr>
  <dimension ref="A2:K162"/>
  <sheetViews>
    <sheetView view="pageBreakPreview" topLeftCell="A130" zoomScaleNormal="100" zoomScaleSheetLayoutView="100" workbookViewId="0">
      <selection activeCell="C147" sqref="C147"/>
    </sheetView>
  </sheetViews>
  <sheetFormatPr defaultColWidth="9.109375" defaultRowHeight="14.4"/>
  <cols>
    <col min="1" max="1" width="10.6640625" style="30" customWidth="1"/>
    <col min="2" max="2" width="38.109375" style="30" customWidth="1"/>
    <col min="3" max="3" width="7.88671875" style="30" customWidth="1"/>
    <col min="4" max="4" width="11" style="42" customWidth="1"/>
    <col min="5" max="5" width="15.109375" style="30" bestFit="1" customWidth="1"/>
    <col min="6" max="6" width="14.88671875" style="30" customWidth="1"/>
    <col min="7" max="7" width="10" style="30" customWidth="1"/>
    <col min="8" max="8" width="13.5546875" style="30" customWidth="1"/>
    <col min="9" max="9" width="15.109375" style="30" bestFit="1" customWidth="1"/>
    <col min="10" max="10" width="11.44140625" style="30" customWidth="1"/>
    <col min="11" max="11" width="15.109375" style="30" customWidth="1"/>
    <col min="12" max="16384" width="9.109375" style="30"/>
  </cols>
  <sheetData>
    <row r="2" spans="1:11" s="8" customFormat="1" ht="14.4" customHeight="1">
      <c r="A2" s="264" t="str">
        <f>ჯამური!A2</f>
        <v>Wendy სანაპირო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8" customFormat="1" ht="15.75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s="8" customFormat="1" ht="17.25" customHeight="1">
      <c r="A4" s="102" t="s">
        <v>96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8" customFormat="1">
      <c r="A5" s="44" t="s">
        <v>79</v>
      </c>
      <c r="B5" s="45" t="s">
        <v>80</v>
      </c>
      <c r="C5" s="9"/>
      <c r="D5" s="9"/>
      <c r="E5" s="9"/>
      <c r="F5" s="9"/>
      <c r="G5" s="9"/>
      <c r="H5" s="9"/>
      <c r="I5" s="9"/>
      <c r="J5" s="9"/>
      <c r="K5" s="9"/>
    </row>
    <row r="6" spans="1:11" s="12" customFormat="1" ht="13.8">
      <c r="A6" s="263" t="s">
        <v>188</v>
      </c>
      <c r="B6" s="263"/>
      <c r="C6" s="11"/>
      <c r="D6" s="11"/>
      <c r="E6" s="11"/>
      <c r="F6" s="11"/>
      <c r="G6" s="103" t="s">
        <v>1</v>
      </c>
      <c r="H6" s="103"/>
      <c r="I6" s="103"/>
      <c r="J6" s="104">
        <f>K148</f>
        <v>0</v>
      </c>
      <c r="K6" s="104"/>
    </row>
    <row r="7" spans="1:11" s="8" customFormat="1" ht="15.6">
      <c r="A7" s="9"/>
      <c r="B7" s="10"/>
      <c r="C7" s="9"/>
      <c r="D7" s="9"/>
      <c r="E7" s="9"/>
      <c r="F7" s="9"/>
      <c r="G7" s="13"/>
      <c r="H7" s="13"/>
      <c r="I7" s="13"/>
      <c r="J7" s="13"/>
      <c r="K7" s="251">
        <f>ჯამური!D6</f>
        <v>2.74</v>
      </c>
    </row>
    <row r="8" spans="1:11" s="14" customFormat="1" ht="36.6" customHeight="1">
      <c r="A8" s="279" t="s">
        <v>132</v>
      </c>
      <c r="B8" s="279" t="s">
        <v>3</v>
      </c>
      <c r="C8" s="281" t="s">
        <v>4</v>
      </c>
      <c r="D8" s="230" t="s">
        <v>5</v>
      </c>
      <c r="E8" s="277" t="s">
        <v>6</v>
      </c>
      <c r="F8" s="278"/>
      <c r="G8" s="277" t="s">
        <v>7</v>
      </c>
      <c r="H8" s="278"/>
      <c r="I8" s="277" t="s">
        <v>8</v>
      </c>
      <c r="J8" s="278"/>
      <c r="K8" s="231" t="s">
        <v>9</v>
      </c>
    </row>
    <row r="9" spans="1:11" s="14" customFormat="1" ht="28.8">
      <c r="A9" s="280"/>
      <c r="B9" s="280"/>
      <c r="C9" s="282"/>
      <c r="D9" s="232"/>
      <c r="E9" s="230" t="s">
        <v>112</v>
      </c>
      <c r="F9" s="231" t="s">
        <v>5</v>
      </c>
      <c r="G9" s="230" t="s">
        <v>112</v>
      </c>
      <c r="H9" s="231" t="s">
        <v>5</v>
      </c>
      <c r="I9" s="230" t="s">
        <v>112</v>
      </c>
      <c r="J9" s="231" t="s">
        <v>5</v>
      </c>
      <c r="K9" s="231"/>
    </row>
    <row r="10" spans="1:11" s="28" customFormat="1" ht="32.4" customHeight="1">
      <c r="A10" s="15"/>
      <c r="B10" s="15" t="s">
        <v>45</v>
      </c>
      <c r="C10" s="15"/>
      <c r="D10" s="16"/>
      <c r="E10" s="61"/>
      <c r="F10" s="61"/>
      <c r="G10" s="61"/>
      <c r="H10" s="61"/>
      <c r="I10" s="61"/>
      <c r="J10" s="61"/>
      <c r="K10" s="61"/>
    </row>
    <row r="11" spans="1:11" s="24" customFormat="1" ht="27.6">
      <c r="A11" s="23">
        <v>1</v>
      </c>
      <c r="B11" s="210" t="s">
        <v>154</v>
      </c>
      <c r="C11" s="23" t="s">
        <v>152</v>
      </c>
      <c r="D11" s="202">
        <f>(5.6+3.5+5.8+3+5+6+0.5+4.7)*7.5</f>
        <v>255.75</v>
      </c>
      <c r="E11" s="211"/>
      <c r="F11" s="93"/>
      <c r="G11" s="94"/>
      <c r="H11" s="93"/>
      <c r="I11" s="94"/>
      <c r="J11" s="93"/>
      <c r="K11" s="93"/>
    </row>
    <row r="12" spans="1:11" s="24" customFormat="1" ht="13.8">
      <c r="A12" s="205"/>
      <c r="B12" s="206" t="s">
        <v>15</v>
      </c>
      <c r="C12" s="205" t="s">
        <v>152</v>
      </c>
      <c r="D12" s="207">
        <f>D11</f>
        <v>255.75</v>
      </c>
      <c r="E12" s="91"/>
      <c r="F12" s="93">
        <f t="shared" ref="F12:F76" si="0">E12*D12</f>
        <v>0</v>
      </c>
      <c r="G12" s="94"/>
      <c r="H12" s="93">
        <f t="shared" ref="H12:H76" si="1">G12*D12</f>
        <v>0</v>
      </c>
      <c r="I12" s="94"/>
      <c r="J12" s="93">
        <f t="shared" ref="J12:J76" si="2">I12*D12</f>
        <v>0</v>
      </c>
      <c r="K12" s="93">
        <f t="shared" ref="K12:K76" si="3">J12+H12+F12</f>
        <v>0</v>
      </c>
    </row>
    <row r="13" spans="1:11" s="24" customFormat="1" ht="13.8">
      <c r="A13" s="205"/>
      <c r="B13" s="206" t="s">
        <v>19</v>
      </c>
      <c r="C13" s="205" t="s">
        <v>20</v>
      </c>
      <c r="D13" s="207">
        <f>D11*0.92</f>
        <v>235.29000000000002</v>
      </c>
      <c r="E13" s="91"/>
      <c r="F13" s="93">
        <f t="shared" si="0"/>
        <v>0</v>
      </c>
      <c r="G13" s="94"/>
      <c r="H13" s="93">
        <f t="shared" si="1"/>
        <v>0</v>
      </c>
      <c r="I13" s="94"/>
      <c r="J13" s="93">
        <f t="shared" si="2"/>
        <v>0</v>
      </c>
      <c r="K13" s="93">
        <f t="shared" si="3"/>
        <v>0</v>
      </c>
    </row>
    <row r="14" spans="1:11" s="24" customFormat="1" ht="13.8">
      <c r="A14" s="205"/>
      <c r="B14" s="206" t="s">
        <v>16</v>
      </c>
      <c r="C14" s="205"/>
      <c r="D14" s="207"/>
      <c r="E14" s="91"/>
      <c r="F14" s="93"/>
      <c r="G14" s="94"/>
      <c r="H14" s="93"/>
      <c r="I14" s="94"/>
      <c r="J14" s="93"/>
      <c r="K14" s="93"/>
    </row>
    <row r="15" spans="1:11" s="24" customFormat="1" ht="13.8">
      <c r="A15" s="205"/>
      <c r="B15" s="206" t="s">
        <v>153</v>
      </c>
      <c r="C15" s="205" t="s">
        <v>31</v>
      </c>
      <c r="D15" s="207">
        <f>D11*12.5</f>
        <v>3196.875</v>
      </c>
      <c r="E15" s="91"/>
      <c r="F15" s="93">
        <f t="shared" si="0"/>
        <v>0</v>
      </c>
      <c r="G15" s="94"/>
      <c r="H15" s="93">
        <f t="shared" si="1"/>
        <v>0</v>
      </c>
      <c r="I15" s="94"/>
      <c r="J15" s="93">
        <f t="shared" si="2"/>
        <v>0</v>
      </c>
      <c r="K15" s="93">
        <f t="shared" si="3"/>
        <v>0</v>
      </c>
    </row>
    <row r="16" spans="1:11" s="24" customFormat="1" ht="13.8">
      <c r="A16" s="205"/>
      <c r="B16" s="206" t="s">
        <v>47</v>
      </c>
      <c r="C16" s="205" t="s">
        <v>11</v>
      </c>
      <c r="D16" s="207">
        <f>D11*0.03</f>
        <v>7.6724999999999994</v>
      </c>
      <c r="E16" s="91"/>
      <c r="F16" s="93">
        <f t="shared" si="0"/>
        <v>0</v>
      </c>
      <c r="G16" s="94"/>
      <c r="H16" s="93">
        <f t="shared" si="1"/>
        <v>0</v>
      </c>
      <c r="I16" s="94"/>
      <c r="J16" s="93">
        <f t="shared" si="2"/>
        <v>0</v>
      </c>
      <c r="K16" s="93">
        <f t="shared" si="3"/>
        <v>0</v>
      </c>
    </row>
    <row r="17" spans="1:11" s="19" customFormat="1" ht="13.8">
      <c r="A17" s="205"/>
      <c r="B17" s="206" t="s">
        <v>21</v>
      </c>
      <c r="C17" s="205" t="s">
        <v>20</v>
      </c>
      <c r="D17" s="207">
        <f>D11</f>
        <v>255.75</v>
      </c>
      <c r="E17" s="91"/>
      <c r="F17" s="93">
        <f t="shared" si="0"/>
        <v>0</v>
      </c>
      <c r="G17" s="94"/>
      <c r="H17" s="93">
        <f t="shared" si="1"/>
        <v>0</v>
      </c>
      <c r="I17" s="94"/>
      <c r="J17" s="93">
        <f t="shared" si="2"/>
        <v>0</v>
      </c>
      <c r="K17" s="93">
        <f t="shared" si="3"/>
        <v>0</v>
      </c>
    </row>
    <row r="18" spans="1:11" s="19" customFormat="1" ht="27.6">
      <c r="A18" s="23">
        <f>A11+1</f>
        <v>2</v>
      </c>
      <c r="B18" s="210" t="s">
        <v>58</v>
      </c>
      <c r="C18" s="23" t="s">
        <v>152</v>
      </c>
      <c r="D18" s="202">
        <f>0.95*60</f>
        <v>57</v>
      </c>
      <c r="E18" s="211"/>
      <c r="F18" s="93"/>
      <c r="G18" s="94"/>
      <c r="H18" s="93"/>
      <c r="I18" s="94"/>
      <c r="J18" s="93"/>
      <c r="K18" s="93"/>
    </row>
    <row r="19" spans="1:11" s="19" customFormat="1" ht="13.8">
      <c r="A19" s="205"/>
      <c r="B19" s="206" t="s">
        <v>15</v>
      </c>
      <c r="C19" s="205" t="s">
        <v>152</v>
      </c>
      <c r="D19" s="207">
        <f>D18</f>
        <v>57</v>
      </c>
      <c r="E19" s="91"/>
      <c r="F19" s="93">
        <f t="shared" si="0"/>
        <v>0</v>
      </c>
      <c r="G19" s="94"/>
      <c r="H19" s="93">
        <f t="shared" si="1"/>
        <v>0</v>
      </c>
      <c r="I19" s="94"/>
      <c r="J19" s="93">
        <f t="shared" si="2"/>
        <v>0</v>
      </c>
      <c r="K19" s="93">
        <f t="shared" si="3"/>
        <v>0</v>
      </c>
    </row>
    <row r="20" spans="1:11" s="19" customFormat="1" ht="13.8">
      <c r="A20" s="205"/>
      <c r="B20" s="206" t="s">
        <v>19</v>
      </c>
      <c r="C20" s="205" t="s">
        <v>20</v>
      </c>
      <c r="D20" s="207">
        <f>D18*0.92</f>
        <v>52.440000000000005</v>
      </c>
      <c r="E20" s="91"/>
      <c r="F20" s="93">
        <f t="shared" si="0"/>
        <v>0</v>
      </c>
      <c r="G20" s="94"/>
      <c r="H20" s="93">
        <f t="shared" si="1"/>
        <v>0</v>
      </c>
      <c r="I20" s="94"/>
      <c r="J20" s="93">
        <f t="shared" si="2"/>
        <v>0</v>
      </c>
      <c r="K20" s="93">
        <f t="shared" si="3"/>
        <v>0</v>
      </c>
    </row>
    <row r="21" spans="1:11" s="19" customFormat="1" ht="13.8">
      <c r="A21" s="205"/>
      <c r="B21" s="206" t="s">
        <v>16</v>
      </c>
      <c r="C21" s="205"/>
      <c r="D21" s="207"/>
      <c r="E21" s="91"/>
      <c r="F21" s="93"/>
      <c r="G21" s="94"/>
      <c r="H21" s="93"/>
      <c r="I21" s="94"/>
      <c r="J21" s="93"/>
      <c r="K21" s="93"/>
    </row>
    <row r="22" spans="1:11" s="19" customFormat="1" ht="13.8">
      <c r="A22" s="205"/>
      <c r="B22" s="206" t="s">
        <v>46</v>
      </c>
      <c r="C22" s="205" t="s">
        <v>31</v>
      </c>
      <c r="D22" s="207">
        <f>D18*12.5</f>
        <v>712.5</v>
      </c>
      <c r="E22" s="91"/>
      <c r="F22" s="93">
        <f t="shared" si="0"/>
        <v>0</v>
      </c>
      <c r="G22" s="94"/>
      <c r="H22" s="93">
        <f t="shared" si="1"/>
        <v>0</v>
      </c>
      <c r="I22" s="94"/>
      <c r="J22" s="93">
        <f t="shared" si="2"/>
        <v>0</v>
      </c>
      <c r="K22" s="93">
        <f t="shared" si="3"/>
        <v>0</v>
      </c>
    </row>
    <row r="23" spans="1:11" s="19" customFormat="1" ht="13.8">
      <c r="A23" s="205"/>
      <c r="B23" s="206" t="s">
        <v>47</v>
      </c>
      <c r="C23" s="205" t="s">
        <v>11</v>
      </c>
      <c r="D23" s="207">
        <f>D18*0.02</f>
        <v>1.1400000000000001</v>
      </c>
      <c r="E23" s="91"/>
      <c r="F23" s="93">
        <f t="shared" si="0"/>
        <v>0</v>
      </c>
      <c r="G23" s="94"/>
      <c r="H23" s="93">
        <f t="shared" si="1"/>
        <v>0</v>
      </c>
      <c r="I23" s="94"/>
      <c r="J23" s="93">
        <f t="shared" si="2"/>
        <v>0</v>
      </c>
      <c r="K23" s="93">
        <f t="shared" si="3"/>
        <v>0</v>
      </c>
    </row>
    <row r="24" spans="1:11" s="19" customFormat="1" ht="13.8">
      <c r="A24" s="205"/>
      <c r="B24" s="206" t="s">
        <v>21</v>
      </c>
      <c r="C24" s="205" t="s">
        <v>20</v>
      </c>
      <c r="D24" s="207">
        <f>D18</f>
        <v>57</v>
      </c>
      <c r="E24" s="91"/>
      <c r="F24" s="93">
        <f t="shared" si="0"/>
        <v>0</v>
      </c>
      <c r="G24" s="94"/>
      <c r="H24" s="93">
        <f t="shared" si="1"/>
        <v>0</v>
      </c>
      <c r="I24" s="94"/>
      <c r="J24" s="93">
        <f t="shared" si="2"/>
        <v>0</v>
      </c>
      <c r="K24" s="93">
        <f t="shared" si="3"/>
        <v>0</v>
      </c>
    </row>
    <row r="25" spans="1:11" s="24" customFormat="1" ht="27.6">
      <c r="A25" s="20">
        <f>A18+1</f>
        <v>3</v>
      </c>
      <c r="B25" s="21" t="s">
        <v>171</v>
      </c>
      <c r="C25" s="20" t="s">
        <v>11</v>
      </c>
      <c r="D25" s="198">
        <v>3.5</v>
      </c>
      <c r="E25" s="212"/>
      <c r="F25" s="212">
        <f t="shared" si="0"/>
        <v>0</v>
      </c>
      <c r="G25" s="212"/>
      <c r="H25" s="212">
        <f t="shared" si="1"/>
        <v>0</v>
      </c>
      <c r="I25" s="212"/>
      <c r="J25" s="212">
        <f t="shared" si="2"/>
        <v>0</v>
      </c>
      <c r="K25" s="212">
        <f t="shared" si="3"/>
        <v>0</v>
      </c>
    </row>
    <row r="26" spans="1:11" s="24" customFormat="1" ht="13.8">
      <c r="A26" s="23"/>
      <c r="B26" s="199" t="s">
        <v>15</v>
      </c>
      <c r="C26" s="22" t="s">
        <v>11</v>
      </c>
      <c r="D26" s="200">
        <f>D25</f>
        <v>3.5</v>
      </c>
      <c r="E26" s="212"/>
      <c r="F26" s="212">
        <f t="shared" si="0"/>
        <v>0</v>
      </c>
      <c r="G26" s="212"/>
      <c r="H26" s="212">
        <f t="shared" si="1"/>
        <v>0</v>
      </c>
      <c r="I26" s="212"/>
      <c r="J26" s="212">
        <f t="shared" si="2"/>
        <v>0</v>
      </c>
      <c r="K26" s="212">
        <f t="shared" si="3"/>
        <v>0</v>
      </c>
    </row>
    <row r="27" spans="1:11" s="24" customFormat="1" ht="13.8">
      <c r="A27" s="23"/>
      <c r="B27" s="199" t="s">
        <v>19</v>
      </c>
      <c r="C27" s="209" t="s">
        <v>20</v>
      </c>
      <c r="D27" s="200">
        <f>D25</f>
        <v>3.5</v>
      </c>
      <c r="E27" s="212"/>
      <c r="F27" s="212">
        <f t="shared" si="0"/>
        <v>0</v>
      </c>
      <c r="G27" s="212"/>
      <c r="H27" s="212">
        <f t="shared" si="1"/>
        <v>0</v>
      </c>
      <c r="I27" s="212"/>
      <c r="J27" s="212">
        <f t="shared" si="2"/>
        <v>0</v>
      </c>
      <c r="K27" s="212">
        <f t="shared" si="3"/>
        <v>0</v>
      </c>
    </row>
    <row r="28" spans="1:11" s="24" customFormat="1" ht="13.8">
      <c r="A28" s="23"/>
      <c r="B28" s="199" t="s">
        <v>16</v>
      </c>
      <c r="C28" s="209"/>
      <c r="D28" s="200"/>
      <c r="E28" s="212"/>
      <c r="F28" s="212">
        <f t="shared" si="0"/>
        <v>0</v>
      </c>
      <c r="G28" s="212"/>
      <c r="H28" s="212">
        <f t="shared" si="1"/>
        <v>0</v>
      </c>
      <c r="I28" s="212"/>
      <c r="J28" s="212">
        <f t="shared" si="2"/>
        <v>0</v>
      </c>
      <c r="K28" s="212">
        <f t="shared" si="3"/>
        <v>0</v>
      </c>
    </row>
    <row r="29" spans="1:11" s="24" customFormat="1" ht="13.8">
      <c r="A29" s="23"/>
      <c r="B29" s="199" t="s">
        <v>22</v>
      </c>
      <c r="C29" s="22" t="s">
        <v>11</v>
      </c>
      <c r="D29" s="200">
        <f>D25*1.02</f>
        <v>3.5700000000000003</v>
      </c>
      <c r="E29" s="212"/>
      <c r="F29" s="212">
        <f t="shared" si="0"/>
        <v>0</v>
      </c>
      <c r="G29" s="212"/>
      <c r="H29" s="212">
        <f t="shared" si="1"/>
        <v>0</v>
      </c>
      <c r="I29" s="212"/>
      <c r="J29" s="212">
        <f t="shared" si="2"/>
        <v>0</v>
      </c>
      <c r="K29" s="212">
        <f t="shared" si="3"/>
        <v>0</v>
      </c>
    </row>
    <row r="30" spans="1:11" s="24" customFormat="1" ht="13.8">
      <c r="A30" s="23"/>
      <c r="B30" s="199" t="s">
        <v>122</v>
      </c>
      <c r="C30" s="209" t="s">
        <v>24</v>
      </c>
      <c r="D30" s="200">
        <f>(103.58*3.5)*1.05/1000</f>
        <v>0.38065650000000001</v>
      </c>
      <c r="E30" s="212"/>
      <c r="F30" s="212">
        <f t="shared" si="0"/>
        <v>0</v>
      </c>
      <c r="G30" s="212"/>
      <c r="H30" s="212">
        <f t="shared" si="1"/>
        <v>0</v>
      </c>
      <c r="I30" s="212"/>
      <c r="J30" s="212">
        <f t="shared" si="2"/>
        <v>0</v>
      </c>
      <c r="K30" s="212">
        <f t="shared" si="3"/>
        <v>0</v>
      </c>
    </row>
    <row r="31" spans="1:11" s="24" customFormat="1" ht="13.8">
      <c r="A31" s="23"/>
      <c r="B31" s="199" t="s">
        <v>23</v>
      </c>
      <c r="C31" s="209" t="s">
        <v>24</v>
      </c>
      <c r="D31" s="213">
        <f>(207.16+65.96)*3.5*1.05/1000</f>
        <v>1.0037160000000001</v>
      </c>
      <c r="E31" s="212"/>
      <c r="F31" s="212">
        <f t="shared" si="0"/>
        <v>0</v>
      </c>
      <c r="G31" s="212"/>
      <c r="H31" s="212">
        <f t="shared" si="1"/>
        <v>0</v>
      </c>
      <c r="I31" s="212"/>
      <c r="J31" s="212">
        <f t="shared" si="2"/>
        <v>0</v>
      </c>
      <c r="K31" s="212">
        <f t="shared" si="3"/>
        <v>0</v>
      </c>
    </row>
    <row r="32" spans="1:11" s="19" customFormat="1" ht="13.8">
      <c r="A32" s="23"/>
      <c r="B32" s="199" t="s">
        <v>25</v>
      </c>
      <c r="C32" s="209" t="s">
        <v>26</v>
      </c>
      <c r="D32" s="200">
        <f>D25*2.5</f>
        <v>8.75</v>
      </c>
      <c r="E32" s="212"/>
      <c r="F32" s="212">
        <f t="shared" si="0"/>
        <v>0</v>
      </c>
      <c r="G32" s="212"/>
      <c r="H32" s="212">
        <f t="shared" si="1"/>
        <v>0</v>
      </c>
      <c r="I32" s="212"/>
      <c r="J32" s="212">
        <f t="shared" si="2"/>
        <v>0</v>
      </c>
      <c r="K32" s="212">
        <f t="shared" si="3"/>
        <v>0</v>
      </c>
    </row>
    <row r="33" spans="1:11" s="19" customFormat="1" ht="13.8">
      <c r="A33" s="23"/>
      <c r="B33" s="199" t="s">
        <v>27</v>
      </c>
      <c r="C33" s="22" t="s">
        <v>11</v>
      </c>
      <c r="D33" s="200">
        <f>D25</f>
        <v>3.5</v>
      </c>
      <c r="E33" s="212"/>
      <c r="F33" s="212">
        <f t="shared" si="0"/>
        <v>0</v>
      </c>
      <c r="G33" s="212"/>
      <c r="H33" s="212">
        <f t="shared" si="1"/>
        <v>0</v>
      </c>
      <c r="I33" s="212"/>
      <c r="J33" s="212">
        <f t="shared" si="2"/>
        <v>0</v>
      </c>
      <c r="K33" s="212">
        <f t="shared" si="3"/>
        <v>0</v>
      </c>
    </row>
    <row r="34" spans="1:11" s="19" customFormat="1" ht="13.8">
      <c r="A34" s="23"/>
      <c r="B34" s="199" t="s">
        <v>21</v>
      </c>
      <c r="C34" s="22" t="s">
        <v>20</v>
      </c>
      <c r="D34" s="200">
        <f>D25</f>
        <v>3.5</v>
      </c>
      <c r="E34" s="212"/>
      <c r="F34" s="212">
        <f t="shared" si="0"/>
        <v>0</v>
      </c>
      <c r="G34" s="212"/>
      <c r="H34" s="212">
        <f t="shared" si="1"/>
        <v>0</v>
      </c>
      <c r="I34" s="212"/>
      <c r="J34" s="212">
        <f t="shared" si="2"/>
        <v>0</v>
      </c>
      <c r="K34" s="212">
        <f t="shared" si="3"/>
        <v>0</v>
      </c>
    </row>
    <row r="35" spans="1:11" s="34" customFormat="1" ht="27.6">
      <c r="A35" s="23">
        <f>A25+1</f>
        <v>4</v>
      </c>
      <c r="B35" s="210" t="s">
        <v>176</v>
      </c>
      <c r="C35" s="23" t="s">
        <v>29</v>
      </c>
      <c r="D35" s="202">
        <f>1.2*60</f>
        <v>72</v>
      </c>
      <c r="E35" s="211"/>
      <c r="F35" s="93"/>
      <c r="G35" s="94"/>
      <c r="H35" s="93"/>
      <c r="I35" s="94"/>
      <c r="J35" s="93"/>
      <c r="K35" s="93"/>
    </row>
    <row r="36" spans="1:11" s="34" customFormat="1" ht="13.8">
      <c r="A36" s="205"/>
      <c r="B36" s="206" t="s">
        <v>15</v>
      </c>
      <c r="C36" s="205" t="s">
        <v>29</v>
      </c>
      <c r="D36" s="207">
        <f>D35</f>
        <v>72</v>
      </c>
      <c r="E36" s="91"/>
      <c r="F36" s="93">
        <f t="shared" si="0"/>
        <v>0</v>
      </c>
      <c r="G36" s="212"/>
      <c r="H36" s="93">
        <f t="shared" si="1"/>
        <v>0</v>
      </c>
      <c r="I36" s="94"/>
      <c r="J36" s="93">
        <f t="shared" si="2"/>
        <v>0</v>
      </c>
      <c r="K36" s="93">
        <f t="shared" si="3"/>
        <v>0</v>
      </c>
    </row>
    <row r="37" spans="1:11" s="34" customFormat="1" ht="13.8">
      <c r="A37" s="205"/>
      <c r="B37" s="206" t="s">
        <v>19</v>
      </c>
      <c r="C37" s="205" t="s">
        <v>20</v>
      </c>
      <c r="D37" s="207">
        <f>D35</f>
        <v>72</v>
      </c>
      <c r="E37" s="91"/>
      <c r="F37" s="93">
        <f t="shared" si="0"/>
        <v>0</v>
      </c>
      <c r="G37" s="94"/>
      <c r="H37" s="93">
        <f t="shared" si="1"/>
        <v>0</v>
      </c>
      <c r="I37" s="94"/>
      <c r="J37" s="93">
        <f t="shared" si="2"/>
        <v>0</v>
      </c>
      <c r="K37" s="93">
        <f t="shared" si="3"/>
        <v>0</v>
      </c>
    </row>
    <row r="38" spans="1:11" s="34" customFormat="1" ht="13.8">
      <c r="A38" s="205"/>
      <c r="B38" s="206" t="s">
        <v>16</v>
      </c>
      <c r="C38" s="205"/>
      <c r="D38" s="207"/>
      <c r="E38" s="91"/>
      <c r="F38" s="93"/>
      <c r="G38" s="94"/>
      <c r="H38" s="93"/>
      <c r="I38" s="94"/>
      <c r="J38" s="93"/>
      <c r="K38" s="93"/>
    </row>
    <row r="39" spans="1:11" s="34" customFormat="1" ht="13.8">
      <c r="A39" s="205"/>
      <c r="B39" s="206" t="s">
        <v>47</v>
      </c>
      <c r="C39" s="205" t="s">
        <v>11</v>
      </c>
      <c r="D39" s="207">
        <f>0.055*D35</f>
        <v>3.96</v>
      </c>
      <c r="E39" s="91"/>
      <c r="F39" s="93">
        <f t="shared" si="0"/>
        <v>0</v>
      </c>
      <c r="G39" s="94"/>
      <c r="H39" s="93">
        <f t="shared" si="1"/>
        <v>0</v>
      </c>
      <c r="I39" s="94"/>
      <c r="J39" s="93">
        <f t="shared" si="2"/>
        <v>0</v>
      </c>
      <c r="K39" s="93">
        <f t="shared" si="3"/>
        <v>0</v>
      </c>
    </row>
    <row r="40" spans="1:11" s="34" customFormat="1" ht="13.8">
      <c r="A40" s="205"/>
      <c r="B40" s="206" t="s">
        <v>21</v>
      </c>
      <c r="C40" s="205" t="s">
        <v>20</v>
      </c>
      <c r="D40" s="207">
        <f>D35</f>
        <v>72</v>
      </c>
      <c r="E40" s="91"/>
      <c r="F40" s="93">
        <f t="shared" si="0"/>
        <v>0</v>
      </c>
      <c r="G40" s="94"/>
      <c r="H40" s="93">
        <f t="shared" si="1"/>
        <v>0</v>
      </c>
      <c r="I40" s="94"/>
      <c r="J40" s="93">
        <f t="shared" si="2"/>
        <v>0</v>
      </c>
      <c r="K40" s="93">
        <f t="shared" si="3"/>
        <v>0</v>
      </c>
    </row>
    <row r="41" spans="1:11" s="24" customFormat="1" ht="27.6">
      <c r="A41" s="23">
        <f>A35+1</f>
        <v>5</v>
      </c>
      <c r="B41" s="210" t="s">
        <v>60</v>
      </c>
      <c r="C41" s="20" t="s">
        <v>29</v>
      </c>
      <c r="D41" s="202">
        <f>(D44+D45+D46+D47)</f>
        <v>590.1382000000001</v>
      </c>
      <c r="E41" s="90"/>
      <c r="F41" s="93"/>
      <c r="G41" s="93"/>
      <c r="H41" s="93"/>
      <c r="I41" s="93"/>
      <c r="J41" s="93"/>
      <c r="K41" s="93"/>
    </row>
    <row r="42" spans="1:11" s="24" customFormat="1" ht="13.8">
      <c r="A42" s="23"/>
      <c r="B42" s="214" t="s">
        <v>15</v>
      </c>
      <c r="C42" s="22" t="s">
        <v>29</v>
      </c>
      <c r="D42" s="200">
        <f>D41</f>
        <v>590.1382000000001</v>
      </c>
      <c r="E42" s="91"/>
      <c r="F42" s="93">
        <f t="shared" ref="F42" si="4">E42*D42</f>
        <v>0</v>
      </c>
      <c r="G42" s="94"/>
      <c r="H42" s="93">
        <f t="shared" ref="H42" si="5">G42*D42</f>
        <v>0</v>
      </c>
      <c r="I42" s="94"/>
      <c r="J42" s="93">
        <f t="shared" ref="J42" si="6">I42*D42</f>
        <v>0</v>
      </c>
      <c r="K42" s="93">
        <f t="shared" ref="K42" si="7">J42+H42+F42</f>
        <v>0</v>
      </c>
    </row>
    <row r="43" spans="1:11" s="24" customFormat="1" ht="13.8">
      <c r="A43" s="23"/>
      <c r="B43" s="214" t="s">
        <v>16</v>
      </c>
      <c r="C43" s="209"/>
      <c r="D43" s="200"/>
      <c r="E43" s="91"/>
      <c r="F43" s="93"/>
      <c r="G43" s="94"/>
      <c r="H43" s="93"/>
      <c r="I43" s="94"/>
      <c r="J43" s="93"/>
      <c r="K43" s="93"/>
    </row>
    <row r="44" spans="1:11" s="24" customFormat="1" ht="27.6">
      <c r="A44" s="23"/>
      <c r="B44" s="214" t="s">
        <v>61</v>
      </c>
      <c r="C44" s="22" t="s">
        <v>29</v>
      </c>
      <c r="D44" s="200">
        <f>(69.78+14.67+52.63)*1.02*2</f>
        <v>279.64320000000004</v>
      </c>
      <c r="E44" s="89"/>
      <c r="F44" s="93">
        <f t="shared" ref="F44:F53" si="8">E44*D44</f>
        <v>0</v>
      </c>
      <c r="G44" s="94"/>
      <c r="H44" s="93">
        <f t="shared" ref="H44:H53" si="9">G44*D44</f>
        <v>0</v>
      </c>
      <c r="I44" s="94"/>
      <c r="J44" s="93">
        <f t="shared" ref="J44:J53" si="10">I44*D44</f>
        <v>0</v>
      </c>
      <c r="K44" s="93">
        <f t="shared" ref="K44:K53" si="11">J44+H44+F44</f>
        <v>0</v>
      </c>
    </row>
    <row r="45" spans="1:11" s="24" customFormat="1" ht="27.6">
      <c r="A45" s="23"/>
      <c r="B45" s="214" t="s">
        <v>62</v>
      </c>
      <c r="C45" s="22" t="s">
        <v>29</v>
      </c>
      <c r="D45" s="200">
        <f>(17.25+28.85)</f>
        <v>46.1</v>
      </c>
      <c r="E45" s="89"/>
      <c r="F45" s="93">
        <f t="shared" si="8"/>
        <v>0</v>
      </c>
      <c r="G45" s="94"/>
      <c r="H45" s="93">
        <f t="shared" si="9"/>
        <v>0</v>
      </c>
      <c r="I45" s="94"/>
      <c r="J45" s="93">
        <f t="shared" si="10"/>
        <v>0</v>
      </c>
      <c r="K45" s="93">
        <f t="shared" si="11"/>
        <v>0</v>
      </c>
    </row>
    <row r="46" spans="1:11" s="24" customFormat="1" ht="27.6">
      <c r="A46" s="23"/>
      <c r="B46" s="214" t="s">
        <v>158</v>
      </c>
      <c r="C46" s="22" t="s">
        <v>29</v>
      </c>
      <c r="D46" s="200">
        <f>(7.82+140.52+14.99+14.2)</f>
        <v>177.53</v>
      </c>
      <c r="E46" s="89"/>
      <c r="F46" s="93">
        <f t="shared" si="8"/>
        <v>0</v>
      </c>
      <c r="G46" s="94"/>
      <c r="H46" s="93">
        <f t="shared" si="9"/>
        <v>0</v>
      </c>
      <c r="I46" s="94"/>
      <c r="J46" s="93">
        <f t="shared" si="10"/>
        <v>0</v>
      </c>
      <c r="K46" s="93">
        <f t="shared" si="11"/>
        <v>0</v>
      </c>
    </row>
    <row r="47" spans="1:11" s="24" customFormat="1" ht="27.6">
      <c r="A47" s="23"/>
      <c r="B47" s="214" t="s">
        <v>63</v>
      </c>
      <c r="C47" s="22" t="s">
        <v>29</v>
      </c>
      <c r="D47" s="200">
        <f>(4+4.7+5+1.5+4+5.6+7+7+1+1)*0.4+(4.1*11.7)+(1.75+4.7)*(1.75)*2</f>
        <v>86.864999999999995</v>
      </c>
      <c r="E47" s="89"/>
      <c r="F47" s="93">
        <f t="shared" si="8"/>
        <v>0</v>
      </c>
      <c r="G47" s="94"/>
      <c r="H47" s="93">
        <f t="shared" si="9"/>
        <v>0</v>
      </c>
      <c r="I47" s="94"/>
      <c r="J47" s="93">
        <f t="shared" si="10"/>
        <v>0</v>
      </c>
      <c r="K47" s="93">
        <f t="shared" si="11"/>
        <v>0</v>
      </c>
    </row>
    <row r="48" spans="1:11" s="24" customFormat="1" ht="27.6">
      <c r="A48" s="215"/>
      <c r="B48" s="214" t="s">
        <v>71</v>
      </c>
      <c r="C48" s="22" t="s">
        <v>72</v>
      </c>
      <c r="D48" s="200">
        <f>D41*3.06</f>
        <v>1805.8228920000004</v>
      </c>
      <c r="E48" s="89"/>
      <c r="F48" s="93">
        <f t="shared" si="8"/>
        <v>0</v>
      </c>
      <c r="G48" s="94"/>
      <c r="H48" s="93">
        <f t="shared" si="9"/>
        <v>0</v>
      </c>
      <c r="I48" s="94"/>
      <c r="J48" s="93">
        <f t="shared" si="10"/>
        <v>0</v>
      </c>
      <c r="K48" s="93">
        <f t="shared" si="11"/>
        <v>0</v>
      </c>
    </row>
    <row r="49" spans="1:11" s="24" customFormat="1" ht="13.8">
      <c r="A49" s="215"/>
      <c r="B49" s="214" t="s">
        <v>73</v>
      </c>
      <c r="C49" s="22" t="s">
        <v>31</v>
      </c>
      <c r="D49" s="200">
        <f>D41*2.06</f>
        <v>1215.6846920000003</v>
      </c>
      <c r="E49" s="91"/>
      <c r="F49" s="93">
        <f t="shared" si="8"/>
        <v>0</v>
      </c>
      <c r="G49" s="94"/>
      <c r="H49" s="93">
        <f t="shared" si="9"/>
        <v>0</v>
      </c>
      <c r="I49" s="94"/>
      <c r="J49" s="93">
        <f t="shared" si="10"/>
        <v>0</v>
      </c>
      <c r="K49" s="93">
        <f t="shared" si="11"/>
        <v>0</v>
      </c>
    </row>
    <row r="50" spans="1:11" s="24" customFormat="1" ht="13.8">
      <c r="A50" s="215"/>
      <c r="B50" s="214" t="s">
        <v>74</v>
      </c>
      <c r="C50" s="22" t="s">
        <v>31</v>
      </c>
      <c r="D50" s="200">
        <f>D41*2.06</f>
        <v>1215.6846920000003</v>
      </c>
      <c r="E50" s="91"/>
      <c r="F50" s="93">
        <f t="shared" si="8"/>
        <v>0</v>
      </c>
      <c r="G50" s="94"/>
      <c r="H50" s="93">
        <f t="shared" si="9"/>
        <v>0</v>
      </c>
      <c r="I50" s="94"/>
      <c r="J50" s="93">
        <f t="shared" si="10"/>
        <v>0</v>
      </c>
      <c r="K50" s="93">
        <f t="shared" si="11"/>
        <v>0</v>
      </c>
    </row>
    <row r="51" spans="1:11" s="24" customFormat="1" ht="13.8">
      <c r="A51" s="215"/>
      <c r="B51" s="214" t="s">
        <v>75</v>
      </c>
      <c r="C51" s="22" t="s">
        <v>31</v>
      </c>
      <c r="D51" s="200">
        <f>D41*4.06</f>
        <v>2395.961092</v>
      </c>
      <c r="E51" s="91"/>
      <c r="F51" s="93">
        <f t="shared" si="8"/>
        <v>0</v>
      </c>
      <c r="G51" s="94"/>
      <c r="H51" s="93">
        <f t="shared" si="9"/>
        <v>0</v>
      </c>
      <c r="I51" s="94"/>
      <c r="J51" s="93">
        <f t="shared" si="10"/>
        <v>0</v>
      </c>
      <c r="K51" s="93">
        <f t="shared" si="11"/>
        <v>0</v>
      </c>
    </row>
    <row r="52" spans="1:11" s="24" customFormat="1" ht="13.8">
      <c r="A52" s="215"/>
      <c r="B52" s="214" t="s">
        <v>76</v>
      </c>
      <c r="C52" s="22" t="s">
        <v>72</v>
      </c>
      <c r="D52" s="200">
        <f>D41*0.6</f>
        <v>354.08292000000006</v>
      </c>
      <c r="E52" s="89"/>
      <c r="F52" s="93">
        <f t="shared" si="8"/>
        <v>0</v>
      </c>
      <c r="G52" s="94"/>
      <c r="H52" s="93">
        <f t="shared" si="9"/>
        <v>0</v>
      </c>
      <c r="I52" s="94"/>
      <c r="J52" s="93">
        <f t="shared" si="10"/>
        <v>0</v>
      </c>
      <c r="K52" s="93">
        <f t="shared" si="11"/>
        <v>0</v>
      </c>
    </row>
    <row r="53" spans="1:11" s="24" customFormat="1" ht="13.8">
      <c r="A53" s="215"/>
      <c r="B53" s="214" t="s">
        <v>77</v>
      </c>
      <c r="C53" s="22" t="s">
        <v>31</v>
      </c>
      <c r="D53" s="200">
        <f>D41*2.06</f>
        <v>1215.6846920000003</v>
      </c>
      <c r="E53" s="89"/>
      <c r="F53" s="93">
        <f t="shared" si="8"/>
        <v>0</v>
      </c>
      <c r="G53" s="94"/>
      <c r="H53" s="93">
        <f t="shared" si="9"/>
        <v>0</v>
      </c>
      <c r="I53" s="94"/>
      <c r="J53" s="93">
        <f t="shared" si="10"/>
        <v>0</v>
      </c>
      <c r="K53" s="93">
        <f t="shared" si="11"/>
        <v>0</v>
      </c>
    </row>
    <row r="54" spans="1:11" s="34" customFormat="1" ht="27.6">
      <c r="A54" s="20">
        <v>6</v>
      </c>
      <c r="B54" s="21" t="s">
        <v>59</v>
      </c>
      <c r="C54" s="20" t="s">
        <v>29</v>
      </c>
      <c r="D54" s="198">
        <f>269.79+179.85</f>
        <v>449.64</v>
      </c>
      <c r="E54" s="92"/>
      <c r="F54" s="93"/>
      <c r="G54" s="95"/>
      <c r="H54" s="93"/>
      <c r="I54" s="95"/>
      <c r="J54" s="93"/>
      <c r="K54" s="93"/>
    </row>
    <row r="55" spans="1:11" s="34" customFormat="1" ht="13.8">
      <c r="A55" s="20"/>
      <c r="B55" s="33" t="s">
        <v>48</v>
      </c>
      <c r="C55" s="22" t="str">
        <f>C54</f>
        <v>მ²</v>
      </c>
      <c r="D55" s="216">
        <f>D54</f>
        <v>449.64</v>
      </c>
      <c r="E55" s="88"/>
      <c r="F55" s="93">
        <f t="shared" si="0"/>
        <v>0</v>
      </c>
      <c r="G55" s="95"/>
      <c r="H55" s="93">
        <f t="shared" si="1"/>
        <v>0</v>
      </c>
      <c r="I55" s="95"/>
      <c r="J55" s="93">
        <f t="shared" si="2"/>
        <v>0</v>
      </c>
      <c r="K55" s="93">
        <f t="shared" si="3"/>
        <v>0</v>
      </c>
    </row>
    <row r="56" spans="1:11" s="34" customFormat="1" ht="13.8">
      <c r="A56" s="20"/>
      <c r="B56" s="33" t="s">
        <v>19</v>
      </c>
      <c r="C56" s="22" t="s">
        <v>20</v>
      </c>
      <c r="D56" s="216">
        <f>D54*0.08</f>
        <v>35.971200000000003</v>
      </c>
      <c r="E56" s="88"/>
      <c r="F56" s="93">
        <f t="shared" si="0"/>
        <v>0</v>
      </c>
      <c r="G56" s="95"/>
      <c r="H56" s="93">
        <f t="shared" si="1"/>
        <v>0</v>
      </c>
      <c r="I56" s="94"/>
      <c r="J56" s="93">
        <f t="shared" si="2"/>
        <v>0</v>
      </c>
      <c r="K56" s="93">
        <f t="shared" si="3"/>
        <v>0</v>
      </c>
    </row>
    <row r="57" spans="1:11" s="34" customFormat="1" ht="13.8">
      <c r="A57" s="20"/>
      <c r="B57" s="33" t="s">
        <v>49</v>
      </c>
      <c r="C57" s="22"/>
      <c r="D57" s="216"/>
      <c r="E57" s="88"/>
      <c r="F57" s="93"/>
      <c r="G57" s="95"/>
      <c r="H57" s="93"/>
      <c r="I57" s="95"/>
      <c r="J57" s="93"/>
      <c r="K57" s="93"/>
    </row>
    <row r="58" spans="1:11" s="28" customFormat="1" ht="15.75" customHeight="1">
      <c r="A58" s="20"/>
      <c r="B58" s="33" t="s">
        <v>55</v>
      </c>
      <c r="C58" s="22" t="s">
        <v>11</v>
      </c>
      <c r="D58" s="216">
        <f>D54*0.05*1.12</f>
        <v>25.179840000000002</v>
      </c>
      <c r="E58" s="88"/>
      <c r="F58" s="93">
        <f t="shared" si="0"/>
        <v>0</v>
      </c>
      <c r="G58" s="95"/>
      <c r="H58" s="93">
        <f t="shared" si="1"/>
        <v>0</v>
      </c>
      <c r="I58" s="95"/>
      <c r="J58" s="93">
        <f t="shared" si="2"/>
        <v>0</v>
      </c>
      <c r="K58" s="93">
        <f t="shared" si="3"/>
        <v>0</v>
      </c>
    </row>
    <row r="59" spans="1:11" s="24" customFormat="1" ht="13.8">
      <c r="A59" s="20"/>
      <c r="B59" s="33" t="s">
        <v>21</v>
      </c>
      <c r="C59" s="22" t="s">
        <v>20</v>
      </c>
      <c r="D59" s="216">
        <f>D54*0.07</f>
        <v>31.474800000000002</v>
      </c>
      <c r="E59" s="91"/>
      <c r="F59" s="93">
        <f t="shared" si="0"/>
        <v>0</v>
      </c>
      <c r="G59" s="95"/>
      <c r="H59" s="93">
        <f t="shared" si="1"/>
        <v>0</v>
      </c>
      <c r="I59" s="95"/>
      <c r="J59" s="93">
        <f t="shared" si="2"/>
        <v>0</v>
      </c>
      <c r="K59" s="93">
        <f t="shared" si="3"/>
        <v>0</v>
      </c>
    </row>
    <row r="60" spans="1:11" s="24" customFormat="1" ht="27.6">
      <c r="A60" s="20">
        <f>A54+1</f>
        <v>7</v>
      </c>
      <c r="B60" s="21" t="s">
        <v>155</v>
      </c>
      <c r="C60" s="20" t="s">
        <v>29</v>
      </c>
      <c r="D60" s="198">
        <f>D54</f>
        <v>449.64</v>
      </c>
      <c r="E60" s="92"/>
      <c r="F60" s="93"/>
      <c r="G60" s="95"/>
      <c r="H60" s="93"/>
      <c r="I60" s="95"/>
      <c r="J60" s="93"/>
      <c r="K60" s="93"/>
    </row>
    <row r="61" spans="1:11" s="24" customFormat="1" ht="24.6" customHeight="1">
      <c r="A61" s="20"/>
      <c r="B61" s="33" t="s">
        <v>48</v>
      </c>
      <c r="C61" s="22" t="str">
        <f>C60</f>
        <v>მ²</v>
      </c>
      <c r="D61" s="216">
        <f>D60</f>
        <v>449.64</v>
      </c>
      <c r="E61" s="88"/>
      <c r="F61" s="93">
        <f t="shared" si="0"/>
        <v>0</v>
      </c>
      <c r="G61" s="95"/>
      <c r="H61" s="93">
        <f t="shared" si="1"/>
        <v>0</v>
      </c>
      <c r="I61" s="95"/>
      <c r="J61" s="93">
        <f t="shared" si="2"/>
        <v>0</v>
      </c>
      <c r="K61" s="93">
        <f t="shared" si="3"/>
        <v>0</v>
      </c>
    </row>
    <row r="62" spans="1:11" s="24" customFormat="1" ht="13.8">
      <c r="A62" s="20"/>
      <c r="B62" s="33" t="s">
        <v>19</v>
      </c>
      <c r="C62" s="22" t="s">
        <v>20</v>
      </c>
      <c r="D62" s="216">
        <f>D60*0.3</f>
        <v>134.892</v>
      </c>
      <c r="E62" s="88"/>
      <c r="F62" s="93">
        <f t="shared" si="0"/>
        <v>0</v>
      </c>
      <c r="G62" s="95"/>
      <c r="H62" s="93">
        <f t="shared" si="1"/>
        <v>0</v>
      </c>
      <c r="I62" s="94"/>
      <c r="J62" s="93">
        <f t="shared" si="2"/>
        <v>0</v>
      </c>
      <c r="K62" s="93">
        <f t="shared" si="3"/>
        <v>0</v>
      </c>
    </row>
    <row r="63" spans="1:11" s="24" customFormat="1" ht="13.8">
      <c r="A63" s="20"/>
      <c r="B63" s="33" t="s">
        <v>49</v>
      </c>
      <c r="C63" s="22"/>
      <c r="D63" s="216"/>
      <c r="E63" s="88"/>
      <c r="F63" s="93"/>
      <c r="G63" s="95"/>
      <c r="H63" s="93"/>
      <c r="I63" s="95"/>
      <c r="J63" s="93"/>
      <c r="K63" s="93"/>
    </row>
    <row r="64" spans="1:11" s="24" customFormat="1" ht="13.8">
      <c r="A64" s="20"/>
      <c r="B64" s="33" t="s">
        <v>47</v>
      </c>
      <c r="C64" s="22" t="s">
        <v>11</v>
      </c>
      <c r="D64" s="216">
        <f>D60*0.06</f>
        <v>26.978399999999997</v>
      </c>
      <c r="E64" s="88"/>
      <c r="F64" s="93">
        <f t="shared" si="0"/>
        <v>0</v>
      </c>
      <c r="G64" s="95"/>
      <c r="H64" s="93">
        <f t="shared" si="1"/>
        <v>0</v>
      </c>
      <c r="I64" s="95"/>
      <c r="J64" s="93">
        <f t="shared" si="2"/>
        <v>0</v>
      </c>
      <c r="K64" s="93">
        <f t="shared" si="3"/>
        <v>0</v>
      </c>
    </row>
    <row r="65" spans="1:11" s="24" customFormat="1" ht="13.8">
      <c r="A65" s="20"/>
      <c r="B65" s="33" t="s">
        <v>21</v>
      </c>
      <c r="C65" s="22" t="s">
        <v>20</v>
      </c>
      <c r="D65" s="216">
        <f>D60*0.5</f>
        <v>224.82</v>
      </c>
      <c r="E65" s="91"/>
      <c r="F65" s="93">
        <f t="shared" si="0"/>
        <v>0</v>
      </c>
      <c r="G65" s="95"/>
      <c r="H65" s="93">
        <f t="shared" si="1"/>
        <v>0</v>
      </c>
      <c r="I65" s="95"/>
      <c r="J65" s="93">
        <f t="shared" si="2"/>
        <v>0</v>
      </c>
      <c r="K65" s="93">
        <f t="shared" si="3"/>
        <v>0</v>
      </c>
    </row>
    <row r="66" spans="1:11" s="32" customFormat="1" ht="27.6">
      <c r="A66" s="20">
        <f>A60+1</f>
        <v>8</v>
      </c>
      <c r="B66" s="21" t="s">
        <v>51</v>
      </c>
      <c r="C66" s="20" t="s">
        <v>29</v>
      </c>
      <c r="D66" s="198">
        <v>195</v>
      </c>
      <c r="E66" s="92"/>
      <c r="F66" s="93"/>
      <c r="G66" s="95"/>
      <c r="H66" s="93"/>
      <c r="I66" s="95"/>
      <c r="J66" s="93"/>
      <c r="K66" s="93"/>
    </row>
    <row r="67" spans="1:11" s="34" customFormat="1" ht="13.8">
      <c r="A67" s="20"/>
      <c r="B67" s="33" t="s">
        <v>48</v>
      </c>
      <c r="C67" s="22" t="str">
        <f>C66</f>
        <v>მ²</v>
      </c>
      <c r="D67" s="216">
        <f>D66</f>
        <v>195</v>
      </c>
      <c r="E67" s="88"/>
      <c r="F67" s="93">
        <f t="shared" si="0"/>
        <v>0</v>
      </c>
      <c r="G67" s="95"/>
      <c r="H67" s="93">
        <f t="shared" si="1"/>
        <v>0</v>
      </c>
      <c r="I67" s="95"/>
      <c r="J67" s="93">
        <f t="shared" si="2"/>
        <v>0</v>
      </c>
      <c r="K67" s="93">
        <f t="shared" si="3"/>
        <v>0</v>
      </c>
    </row>
    <row r="68" spans="1:11" s="34" customFormat="1" ht="13.8">
      <c r="A68" s="20"/>
      <c r="B68" s="33" t="s">
        <v>19</v>
      </c>
      <c r="C68" s="22" t="s">
        <v>20</v>
      </c>
      <c r="D68" s="216">
        <f>D66*0.0032</f>
        <v>0.624</v>
      </c>
      <c r="E68" s="88"/>
      <c r="F68" s="93">
        <f t="shared" si="0"/>
        <v>0</v>
      </c>
      <c r="G68" s="95"/>
      <c r="H68" s="93">
        <f t="shared" si="1"/>
        <v>0</v>
      </c>
      <c r="I68" s="94"/>
      <c r="J68" s="93">
        <f t="shared" si="2"/>
        <v>0</v>
      </c>
      <c r="K68" s="93">
        <f t="shared" si="3"/>
        <v>0</v>
      </c>
    </row>
    <row r="69" spans="1:11" s="34" customFormat="1" ht="13.8">
      <c r="A69" s="20"/>
      <c r="B69" s="33" t="s">
        <v>49</v>
      </c>
      <c r="C69" s="22"/>
      <c r="D69" s="216"/>
      <c r="E69" s="88"/>
      <c r="F69" s="93"/>
      <c r="G69" s="95"/>
      <c r="H69" s="93"/>
      <c r="I69" s="95"/>
      <c r="J69" s="93"/>
      <c r="K69" s="93"/>
    </row>
    <row r="70" spans="1:11" s="34" customFormat="1" ht="13.8">
      <c r="A70" s="20"/>
      <c r="B70" s="199" t="s">
        <v>52</v>
      </c>
      <c r="C70" s="22" t="str">
        <f>C66</f>
        <v>მ²</v>
      </c>
      <c r="D70" s="216">
        <f>D66*1.15</f>
        <v>224.24999999999997</v>
      </c>
      <c r="E70" s="88"/>
      <c r="F70" s="93">
        <f t="shared" si="0"/>
        <v>0</v>
      </c>
      <c r="G70" s="95"/>
      <c r="H70" s="93">
        <f t="shared" si="1"/>
        <v>0</v>
      </c>
      <c r="I70" s="95"/>
      <c r="J70" s="93">
        <f t="shared" si="2"/>
        <v>0</v>
      </c>
      <c r="K70" s="93">
        <f t="shared" si="3"/>
        <v>0</v>
      </c>
    </row>
    <row r="71" spans="1:11" s="34" customFormat="1" ht="13.8">
      <c r="A71" s="20"/>
      <c r="B71" s="199" t="s">
        <v>42</v>
      </c>
      <c r="C71" s="22" t="s">
        <v>26</v>
      </c>
      <c r="D71" s="216">
        <f>D66*0.35</f>
        <v>68.25</v>
      </c>
      <c r="E71" s="88"/>
      <c r="F71" s="93">
        <f t="shared" si="0"/>
        <v>0</v>
      </c>
      <c r="G71" s="95"/>
      <c r="H71" s="93">
        <f t="shared" si="1"/>
        <v>0</v>
      </c>
      <c r="I71" s="95"/>
      <c r="J71" s="93">
        <f t="shared" si="2"/>
        <v>0</v>
      </c>
      <c r="K71" s="93">
        <f t="shared" si="3"/>
        <v>0</v>
      </c>
    </row>
    <row r="72" spans="1:11" s="32" customFormat="1" ht="13.8">
      <c r="A72" s="20"/>
      <c r="B72" s="199" t="s">
        <v>50</v>
      </c>
      <c r="C72" s="22" t="s">
        <v>26</v>
      </c>
      <c r="D72" s="216">
        <f>D66*0.15</f>
        <v>29.25</v>
      </c>
      <c r="E72" s="88"/>
      <c r="F72" s="93">
        <f t="shared" si="0"/>
        <v>0</v>
      </c>
      <c r="G72" s="95"/>
      <c r="H72" s="93">
        <f t="shared" si="1"/>
        <v>0</v>
      </c>
      <c r="I72" s="95"/>
      <c r="J72" s="93">
        <f t="shared" si="2"/>
        <v>0</v>
      </c>
      <c r="K72" s="93">
        <f t="shared" si="3"/>
        <v>0</v>
      </c>
    </row>
    <row r="73" spans="1:11" s="34" customFormat="1" ht="13.8">
      <c r="A73" s="20"/>
      <c r="B73" s="33" t="s">
        <v>21</v>
      </c>
      <c r="C73" s="22" t="s">
        <v>20</v>
      </c>
      <c r="D73" s="216">
        <f>D66*0.14</f>
        <v>27.300000000000004</v>
      </c>
      <c r="E73" s="91"/>
      <c r="F73" s="93">
        <f t="shared" si="0"/>
        <v>0</v>
      </c>
      <c r="G73" s="95"/>
      <c r="H73" s="93">
        <f t="shared" si="1"/>
        <v>0</v>
      </c>
      <c r="I73" s="95"/>
      <c r="J73" s="93">
        <f t="shared" si="2"/>
        <v>0</v>
      </c>
      <c r="K73" s="93">
        <f t="shared" si="3"/>
        <v>0</v>
      </c>
    </row>
    <row r="74" spans="1:11" s="34" customFormat="1" ht="27.6">
      <c r="A74" s="20">
        <f>A66+1</f>
        <v>9</v>
      </c>
      <c r="B74" s="21" t="s">
        <v>54</v>
      </c>
      <c r="C74" s="20" t="s">
        <v>29</v>
      </c>
      <c r="D74" s="198">
        <f>D66</f>
        <v>195</v>
      </c>
      <c r="E74" s="92"/>
      <c r="F74" s="93"/>
      <c r="G74" s="95"/>
      <c r="H74" s="93"/>
      <c r="I74" s="95"/>
      <c r="J74" s="93"/>
      <c r="K74" s="93"/>
    </row>
    <row r="75" spans="1:11" s="34" customFormat="1" ht="13.8">
      <c r="A75" s="20"/>
      <c r="B75" s="33" t="s">
        <v>48</v>
      </c>
      <c r="C75" s="22" t="str">
        <f>C74</f>
        <v>მ²</v>
      </c>
      <c r="D75" s="216">
        <f>D74</f>
        <v>195</v>
      </c>
      <c r="E75" s="88"/>
      <c r="F75" s="93">
        <f t="shared" si="0"/>
        <v>0</v>
      </c>
      <c r="G75" s="95"/>
      <c r="H75" s="93">
        <f t="shared" si="1"/>
        <v>0</v>
      </c>
      <c r="I75" s="95"/>
      <c r="J75" s="93">
        <f t="shared" si="2"/>
        <v>0</v>
      </c>
      <c r="K75" s="93">
        <f t="shared" si="3"/>
        <v>0</v>
      </c>
    </row>
    <row r="76" spans="1:11" s="32" customFormat="1" ht="13.8">
      <c r="A76" s="20"/>
      <c r="B76" s="33" t="s">
        <v>19</v>
      </c>
      <c r="C76" s="22" t="s">
        <v>20</v>
      </c>
      <c r="D76" s="216">
        <f>D74*0.08</f>
        <v>15.6</v>
      </c>
      <c r="E76" s="88"/>
      <c r="F76" s="93">
        <f t="shared" si="0"/>
        <v>0</v>
      </c>
      <c r="G76" s="95"/>
      <c r="H76" s="93">
        <f t="shared" si="1"/>
        <v>0</v>
      </c>
      <c r="I76" s="94"/>
      <c r="J76" s="93">
        <f t="shared" si="2"/>
        <v>0</v>
      </c>
      <c r="K76" s="93">
        <f t="shared" si="3"/>
        <v>0</v>
      </c>
    </row>
    <row r="77" spans="1:11" s="34" customFormat="1" ht="13.8">
      <c r="A77" s="20"/>
      <c r="B77" s="33" t="s">
        <v>49</v>
      </c>
      <c r="C77" s="22"/>
      <c r="D77" s="216"/>
      <c r="E77" s="88"/>
      <c r="F77" s="93"/>
      <c r="G77" s="95"/>
      <c r="H77" s="93"/>
      <c r="I77" s="95"/>
      <c r="J77" s="93"/>
      <c r="K77" s="93"/>
    </row>
    <row r="78" spans="1:11" s="34" customFormat="1" ht="13.8">
      <c r="A78" s="20"/>
      <c r="B78" s="33" t="s">
        <v>53</v>
      </c>
      <c r="C78" s="22" t="s">
        <v>29</v>
      </c>
      <c r="D78" s="216">
        <f>D74*1.05</f>
        <v>204.75</v>
      </c>
      <c r="E78" s="88"/>
      <c r="F78" s="93">
        <f t="shared" ref="F78:F124" si="12">E78*D78</f>
        <v>0</v>
      </c>
      <c r="G78" s="95"/>
      <c r="H78" s="93">
        <f t="shared" ref="H78:H124" si="13">G78*D78</f>
        <v>0</v>
      </c>
      <c r="I78" s="95"/>
      <c r="J78" s="93">
        <f t="shared" ref="J78:J124" si="14">I78*D78</f>
        <v>0</v>
      </c>
      <c r="K78" s="93">
        <f t="shared" ref="K78:K124" si="15">J78+H78+F78</f>
        <v>0</v>
      </c>
    </row>
    <row r="79" spans="1:11" s="34" customFormat="1" ht="13.8">
      <c r="A79" s="20"/>
      <c r="B79" s="33" t="s">
        <v>21</v>
      </c>
      <c r="C79" s="22" t="s">
        <v>20</v>
      </c>
      <c r="D79" s="216">
        <f>D74*0.4</f>
        <v>78</v>
      </c>
      <c r="E79" s="91"/>
      <c r="F79" s="93">
        <f t="shared" si="12"/>
        <v>0</v>
      </c>
      <c r="G79" s="95"/>
      <c r="H79" s="93">
        <f t="shared" si="13"/>
        <v>0</v>
      </c>
      <c r="I79" s="95"/>
      <c r="J79" s="93">
        <f t="shared" si="14"/>
        <v>0</v>
      </c>
      <c r="K79" s="93">
        <f t="shared" si="15"/>
        <v>0</v>
      </c>
    </row>
    <row r="80" spans="1:11" s="34" customFormat="1" ht="27.6">
      <c r="A80" s="20">
        <v>10</v>
      </c>
      <c r="B80" s="21" t="s">
        <v>56</v>
      </c>
      <c r="C80" s="20" t="s">
        <v>29</v>
      </c>
      <c r="D80" s="198">
        <f>D74</f>
        <v>195</v>
      </c>
      <c r="E80" s="92"/>
      <c r="F80" s="93"/>
      <c r="G80" s="95"/>
      <c r="H80" s="93"/>
      <c r="I80" s="95"/>
      <c r="J80" s="93"/>
      <c r="K80" s="93"/>
    </row>
    <row r="81" spans="1:11" s="34" customFormat="1" ht="13.8">
      <c r="A81" s="20"/>
      <c r="B81" s="33" t="s">
        <v>48</v>
      </c>
      <c r="C81" s="22" t="str">
        <f>C80</f>
        <v>მ²</v>
      </c>
      <c r="D81" s="216">
        <f>D80</f>
        <v>195</v>
      </c>
      <c r="E81" s="88"/>
      <c r="F81" s="93">
        <f t="shared" si="12"/>
        <v>0</v>
      </c>
      <c r="G81" s="95"/>
      <c r="H81" s="93">
        <f t="shared" si="13"/>
        <v>0</v>
      </c>
      <c r="I81" s="95"/>
      <c r="J81" s="93">
        <f t="shared" si="14"/>
        <v>0</v>
      </c>
      <c r="K81" s="93">
        <f t="shared" si="15"/>
        <v>0</v>
      </c>
    </row>
    <row r="82" spans="1:11" s="34" customFormat="1" ht="13.8">
      <c r="A82" s="20"/>
      <c r="B82" s="33" t="s">
        <v>19</v>
      </c>
      <c r="C82" s="22" t="s">
        <v>20</v>
      </c>
      <c r="D82" s="216">
        <f>D80*0.08</f>
        <v>15.6</v>
      </c>
      <c r="E82" s="88"/>
      <c r="F82" s="93">
        <f t="shared" si="12"/>
        <v>0</v>
      </c>
      <c r="G82" s="95"/>
      <c r="H82" s="93">
        <f t="shared" si="13"/>
        <v>0</v>
      </c>
      <c r="I82" s="94"/>
      <c r="J82" s="93">
        <f t="shared" si="14"/>
        <v>0</v>
      </c>
      <c r="K82" s="93">
        <f t="shared" si="15"/>
        <v>0</v>
      </c>
    </row>
    <row r="83" spans="1:11" s="34" customFormat="1" ht="13.8">
      <c r="A83" s="20"/>
      <c r="B83" s="33" t="s">
        <v>49</v>
      </c>
      <c r="C83" s="22"/>
      <c r="D83" s="216"/>
      <c r="E83" s="88"/>
      <c r="F83" s="93"/>
      <c r="G83" s="95"/>
      <c r="H83" s="93"/>
      <c r="I83" s="95"/>
      <c r="J83" s="93"/>
      <c r="K83" s="93"/>
    </row>
    <row r="84" spans="1:11" s="32" customFormat="1" ht="13.8">
      <c r="A84" s="20"/>
      <c r="B84" s="33" t="s">
        <v>55</v>
      </c>
      <c r="C84" s="22" t="s">
        <v>11</v>
      </c>
      <c r="D84" s="216">
        <f>D80*0.1*1.12</f>
        <v>21.840000000000003</v>
      </c>
      <c r="E84" s="88"/>
      <c r="F84" s="93">
        <f t="shared" si="12"/>
        <v>0</v>
      </c>
      <c r="G84" s="95"/>
      <c r="H84" s="93">
        <f t="shared" si="13"/>
        <v>0</v>
      </c>
      <c r="I84" s="95"/>
      <c r="J84" s="93">
        <f t="shared" si="14"/>
        <v>0</v>
      </c>
      <c r="K84" s="93">
        <f t="shared" si="15"/>
        <v>0</v>
      </c>
    </row>
    <row r="85" spans="1:11" s="34" customFormat="1" ht="13.5" customHeight="1">
      <c r="A85" s="20"/>
      <c r="B85" s="33" t="s">
        <v>21</v>
      </c>
      <c r="C85" s="22" t="s">
        <v>20</v>
      </c>
      <c r="D85" s="216">
        <f>D80*0.07</f>
        <v>13.650000000000002</v>
      </c>
      <c r="E85" s="91"/>
      <c r="F85" s="93">
        <f t="shared" si="12"/>
        <v>0</v>
      </c>
      <c r="G85" s="95"/>
      <c r="H85" s="93">
        <f t="shared" si="13"/>
        <v>0</v>
      </c>
      <c r="I85" s="95"/>
      <c r="J85" s="93">
        <f t="shared" si="14"/>
        <v>0</v>
      </c>
      <c r="K85" s="93">
        <f t="shared" si="15"/>
        <v>0</v>
      </c>
    </row>
    <row r="86" spans="1:11" s="34" customFormat="1" ht="39.6" customHeight="1">
      <c r="A86" s="20">
        <f>A80+1</f>
        <v>11</v>
      </c>
      <c r="B86" s="21" t="s">
        <v>57</v>
      </c>
      <c r="C86" s="20" t="s">
        <v>29</v>
      </c>
      <c r="D86" s="198">
        <f>D80</f>
        <v>195</v>
      </c>
      <c r="E86" s="92"/>
      <c r="F86" s="93"/>
      <c r="G86" s="95"/>
      <c r="H86" s="93"/>
      <c r="I86" s="95"/>
      <c r="J86" s="93"/>
      <c r="K86" s="93"/>
    </row>
    <row r="87" spans="1:11" s="34" customFormat="1" ht="13.5" customHeight="1">
      <c r="A87" s="20"/>
      <c r="B87" s="33" t="s">
        <v>48</v>
      </c>
      <c r="C87" s="22" t="str">
        <f>C86</f>
        <v>მ²</v>
      </c>
      <c r="D87" s="216">
        <f>D86</f>
        <v>195</v>
      </c>
      <c r="E87" s="88"/>
      <c r="F87" s="93">
        <f t="shared" si="12"/>
        <v>0</v>
      </c>
      <c r="G87" s="95"/>
      <c r="H87" s="93">
        <f t="shared" si="13"/>
        <v>0</v>
      </c>
      <c r="I87" s="95"/>
      <c r="J87" s="93">
        <f t="shared" si="14"/>
        <v>0</v>
      </c>
      <c r="K87" s="93">
        <f t="shared" si="15"/>
        <v>0</v>
      </c>
    </row>
    <row r="88" spans="1:11" s="19" customFormat="1" ht="13.8">
      <c r="A88" s="20"/>
      <c r="B88" s="33" t="s">
        <v>19</v>
      </c>
      <c r="C88" s="22" t="s">
        <v>20</v>
      </c>
      <c r="D88" s="216">
        <f>D86</f>
        <v>195</v>
      </c>
      <c r="E88" s="88"/>
      <c r="F88" s="93">
        <f t="shared" si="12"/>
        <v>0</v>
      </c>
      <c r="G88" s="95"/>
      <c r="H88" s="93">
        <f t="shared" si="13"/>
        <v>0</v>
      </c>
      <c r="I88" s="94"/>
      <c r="J88" s="93">
        <f t="shared" si="14"/>
        <v>0</v>
      </c>
      <c r="K88" s="93">
        <f t="shared" si="15"/>
        <v>0</v>
      </c>
    </row>
    <row r="89" spans="1:11" s="24" customFormat="1" ht="13.8">
      <c r="A89" s="20"/>
      <c r="B89" s="33" t="s">
        <v>49</v>
      </c>
      <c r="C89" s="22"/>
      <c r="D89" s="216"/>
      <c r="E89" s="88"/>
      <c r="F89" s="93"/>
      <c r="G89" s="95"/>
      <c r="H89" s="93"/>
      <c r="I89" s="95"/>
      <c r="J89" s="93"/>
      <c r="K89" s="93"/>
    </row>
    <row r="90" spans="1:11" s="24" customFormat="1" ht="13.8">
      <c r="A90" s="20"/>
      <c r="B90" s="33" t="s">
        <v>47</v>
      </c>
      <c r="C90" s="22" t="s">
        <v>11</v>
      </c>
      <c r="D90" s="216">
        <f>D86*0.07</f>
        <v>13.650000000000002</v>
      </c>
      <c r="E90" s="88"/>
      <c r="F90" s="93">
        <f t="shared" si="12"/>
        <v>0</v>
      </c>
      <c r="G90" s="95"/>
      <c r="H90" s="93">
        <f t="shared" si="13"/>
        <v>0</v>
      </c>
      <c r="I90" s="95"/>
      <c r="J90" s="93">
        <f t="shared" si="14"/>
        <v>0</v>
      </c>
      <c r="K90" s="93">
        <f t="shared" si="15"/>
        <v>0</v>
      </c>
    </row>
    <row r="91" spans="1:11" s="24" customFormat="1" ht="13.8">
      <c r="A91" s="20"/>
      <c r="B91" s="33" t="s">
        <v>21</v>
      </c>
      <c r="C91" s="22" t="s">
        <v>20</v>
      </c>
      <c r="D91" s="216">
        <f>D86*0.07</f>
        <v>13.650000000000002</v>
      </c>
      <c r="E91" s="91"/>
      <c r="F91" s="93">
        <f t="shared" si="12"/>
        <v>0</v>
      </c>
      <c r="G91" s="95"/>
      <c r="H91" s="93">
        <f t="shared" si="13"/>
        <v>0</v>
      </c>
      <c r="I91" s="95"/>
      <c r="J91" s="93">
        <f t="shared" si="14"/>
        <v>0</v>
      </c>
      <c r="K91" s="93">
        <f t="shared" si="15"/>
        <v>0</v>
      </c>
    </row>
    <row r="92" spans="1:11" s="24" customFormat="1" ht="13.8">
      <c r="A92" s="20">
        <f>A86+1</f>
        <v>12</v>
      </c>
      <c r="B92" s="21" t="s">
        <v>177</v>
      </c>
      <c r="C92" s="20" t="s">
        <v>29</v>
      </c>
      <c r="D92" s="198">
        <f>D86</f>
        <v>195</v>
      </c>
      <c r="E92" s="92"/>
      <c r="F92" s="93"/>
      <c r="G92" s="95"/>
      <c r="H92" s="93"/>
      <c r="I92" s="95"/>
      <c r="J92" s="93"/>
      <c r="K92" s="93"/>
    </row>
    <row r="93" spans="1:11" s="34" customFormat="1" ht="13.8">
      <c r="A93" s="20"/>
      <c r="B93" s="33" t="s">
        <v>48</v>
      </c>
      <c r="C93" s="22" t="str">
        <f>C92</f>
        <v>მ²</v>
      </c>
      <c r="D93" s="216">
        <f>D92</f>
        <v>195</v>
      </c>
      <c r="E93" s="88"/>
      <c r="F93" s="93">
        <f t="shared" ref="F93:F94" si="16">E93*D93</f>
        <v>0</v>
      </c>
      <c r="G93" s="95"/>
      <c r="H93" s="93">
        <f t="shared" ref="H93:H94" si="17">G93*D93</f>
        <v>0</v>
      </c>
      <c r="I93" s="95"/>
      <c r="J93" s="93">
        <f t="shared" ref="J93:J94" si="18">I93*D93</f>
        <v>0</v>
      </c>
      <c r="K93" s="93">
        <f t="shared" ref="K93:K94" si="19">J93+H93+F93</f>
        <v>0</v>
      </c>
    </row>
    <row r="94" spans="1:11" s="34" customFormat="1" ht="13.8">
      <c r="A94" s="20"/>
      <c r="B94" s="33" t="s">
        <v>19</v>
      </c>
      <c r="C94" s="22" t="s">
        <v>20</v>
      </c>
      <c r="D94" s="216">
        <f>D92</f>
        <v>195</v>
      </c>
      <c r="E94" s="88"/>
      <c r="F94" s="93">
        <f t="shared" si="16"/>
        <v>0</v>
      </c>
      <c r="G94" s="95"/>
      <c r="H94" s="93">
        <f t="shared" si="17"/>
        <v>0</v>
      </c>
      <c r="I94" s="94"/>
      <c r="J94" s="93">
        <f t="shared" si="18"/>
        <v>0</v>
      </c>
      <c r="K94" s="93">
        <f t="shared" si="19"/>
        <v>0</v>
      </c>
    </row>
    <row r="95" spans="1:11" s="34" customFormat="1" ht="13.8">
      <c r="A95" s="20"/>
      <c r="B95" s="33" t="s">
        <v>49</v>
      </c>
      <c r="C95" s="22"/>
      <c r="D95" s="216"/>
      <c r="E95" s="88"/>
      <c r="F95" s="93"/>
      <c r="G95" s="95"/>
      <c r="H95" s="93"/>
      <c r="I95" s="95"/>
      <c r="J95" s="93"/>
      <c r="K95" s="93"/>
    </row>
    <row r="96" spans="1:11" s="34" customFormat="1" ht="13.8">
      <c r="A96" s="20"/>
      <c r="B96" s="199" t="s">
        <v>172</v>
      </c>
      <c r="C96" s="22" t="str">
        <f>C92</f>
        <v>მ²</v>
      </c>
      <c r="D96" s="216">
        <f>D92*1.3*2</f>
        <v>507</v>
      </c>
      <c r="E96" s="88"/>
      <c r="F96" s="93">
        <f t="shared" ref="F96:F99" si="20">E96*D96</f>
        <v>0</v>
      </c>
      <c r="G96" s="95"/>
      <c r="H96" s="93">
        <f t="shared" ref="H96:H99" si="21">G96*D96</f>
        <v>0</v>
      </c>
      <c r="I96" s="95"/>
      <c r="J96" s="93">
        <f t="shared" ref="J96:J99" si="22">I96*D96</f>
        <v>0</v>
      </c>
      <c r="K96" s="93">
        <f t="shared" ref="K96:K99" si="23">J96+H96+F96</f>
        <v>0</v>
      </c>
    </row>
    <row r="97" spans="1:11" s="34" customFormat="1" ht="13.8">
      <c r="A97" s="20"/>
      <c r="B97" s="199" t="s">
        <v>42</v>
      </c>
      <c r="C97" s="22" t="s">
        <v>26</v>
      </c>
      <c r="D97" s="216">
        <f>D92*0.65</f>
        <v>126.75</v>
      </c>
      <c r="E97" s="88"/>
      <c r="F97" s="93">
        <f t="shared" si="20"/>
        <v>0</v>
      </c>
      <c r="G97" s="95"/>
      <c r="H97" s="93">
        <f t="shared" si="21"/>
        <v>0</v>
      </c>
      <c r="I97" s="95"/>
      <c r="J97" s="93">
        <f t="shared" si="22"/>
        <v>0</v>
      </c>
      <c r="K97" s="93">
        <f t="shared" si="23"/>
        <v>0</v>
      </c>
    </row>
    <row r="98" spans="1:11" s="32" customFormat="1" ht="13.8">
      <c r="A98" s="20"/>
      <c r="B98" s="199" t="s">
        <v>50</v>
      </c>
      <c r="C98" s="22" t="s">
        <v>26</v>
      </c>
      <c r="D98" s="216">
        <f>D92*0.4</f>
        <v>78</v>
      </c>
      <c r="E98" s="88"/>
      <c r="F98" s="93">
        <f t="shared" si="20"/>
        <v>0</v>
      </c>
      <c r="G98" s="95"/>
      <c r="H98" s="93">
        <f t="shared" si="21"/>
        <v>0</v>
      </c>
      <c r="I98" s="95"/>
      <c r="J98" s="93">
        <f t="shared" si="22"/>
        <v>0</v>
      </c>
      <c r="K98" s="93">
        <f t="shared" si="23"/>
        <v>0</v>
      </c>
    </row>
    <row r="99" spans="1:11" s="34" customFormat="1" ht="13.8">
      <c r="A99" s="20"/>
      <c r="B99" s="33" t="s">
        <v>21</v>
      </c>
      <c r="C99" s="22" t="s">
        <v>20</v>
      </c>
      <c r="D99" s="216">
        <f>D92</f>
        <v>195</v>
      </c>
      <c r="E99" s="91"/>
      <c r="F99" s="93">
        <f t="shared" si="20"/>
        <v>0</v>
      </c>
      <c r="G99" s="95"/>
      <c r="H99" s="93">
        <f t="shared" si="21"/>
        <v>0</v>
      </c>
      <c r="I99" s="95"/>
      <c r="J99" s="93">
        <f t="shared" si="22"/>
        <v>0</v>
      </c>
      <c r="K99" s="93">
        <f t="shared" si="23"/>
        <v>0</v>
      </c>
    </row>
    <row r="100" spans="1:11" s="24" customFormat="1" ht="18">
      <c r="A100" s="20"/>
      <c r="B100" s="64" t="s">
        <v>123</v>
      </c>
      <c r="C100" s="22"/>
      <c r="D100" s="216"/>
      <c r="E100" s="88"/>
      <c r="F100" s="93"/>
      <c r="G100" s="95"/>
      <c r="H100" s="93"/>
      <c r="I100" s="95"/>
      <c r="J100" s="93"/>
      <c r="K100" s="93"/>
    </row>
    <row r="101" spans="1:11" s="34" customFormat="1" ht="41.4">
      <c r="A101" s="20">
        <f>A92+1</f>
        <v>13</v>
      </c>
      <c r="B101" s="21" t="s">
        <v>156</v>
      </c>
      <c r="C101" s="20" t="s">
        <v>29</v>
      </c>
      <c r="D101" s="235">
        <f>(15+3.9+1.95+10.2+13.5+10.5+3)</f>
        <v>58.05</v>
      </c>
      <c r="E101" s="92"/>
      <c r="F101" s="93"/>
      <c r="G101" s="95"/>
      <c r="H101" s="93"/>
      <c r="I101" s="95"/>
      <c r="J101" s="93"/>
      <c r="K101" s="93"/>
    </row>
    <row r="102" spans="1:11" s="34" customFormat="1" ht="13.8">
      <c r="A102" s="20"/>
      <c r="B102" s="33" t="s">
        <v>15</v>
      </c>
      <c r="C102" s="22" t="str">
        <f>C101</f>
        <v>მ²</v>
      </c>
      <c r="D102" s="241">
        <f>D101</f>
        <v>58.05</v>
      </c>
      <c r="E102" s="88"/>
      <c r="F102" s="93">
        <f t="shared" si="12"/>
        <v>0</v>
      </c>
      <c r="G102" s="95"/>
      <c r="H102" s="93">
        <f t="shared" si="13"/>
        <v>0</v>
      </c>
      <c r="I102" s="95"/>
      <c r="J102" s="93">
        <f t="shared" si="14"/>
        <v>0</v>
      </c>
      <c r="K102" s="93">
        <f t="shared" si="15"/>
        <v>0</v>
      </c>
    </row>
    <row r="103" spans="1:11" s="34" customFormat="1" ht="13.8">
      <c r="A103" s="20"/>
      <c r="B103" s="33" t="s">
        <v>8</v>
      </c>
      <c r="C103" s="22" t="s">
        <v>20</v>
      </c>
      <c r="D103" s="241">
        <f>D101*0.54</f>
        <v>31.347000000000001</v>
      </c>
      <c r="E103" s="88"/>
      <c r="F103" s="93">
        <f t="shared" si="12"/>
        <v>0</v>
      </c>
      <c r="G103" s="95"/>
      <c r="H103" s="93">
        <f t="shared" si="13"/>
        <v>0</v>
      </c>
      <c r="I103" s="95"/>
      <c r="J103" s="93">
        <f t="shared" si="14"/>
        <v>0</v>
      </c>
      <c r="K103" s="93">
        <f t="shared" si="15"/>
        <v>0</v>
      </c>
    </row>
    <row r="104" spans="1:11" s="34" customFormat="1" ht="13.8">
      <c r="A104" s="20"/>
      <c r="B104" s="33" t="s">
        <v>16</v>
      </c>
      <c r="C104" s="22"/>
      <c r="D104" s="241"/>
      <c r="E104" s="88"/>
      <c r="F104" s="93"/>
      <c r="G104" s="95"/>
      <c r="H104" s="93"/>
      <c r="I104" s="95"/>
      <c r="J104" s="93"/>
      <c r="K104" s="93"/>
    </row>
    <row r="105" spans="1:11" s="34" customFormat="1" ht="13.8">
      <c r="A105" s="20"/>
      <c r="B105" s="33" t="s">
        <v>64</v>
      </c>
      <c r="C105" s="22" t="s">
        <v>29</v>
      </c>
      <c r="D105" s="241">
        <f>D101</f>
        <v>58.05</v>
      </c>
      <c r="E105" s="88"/>
      <c r="F105" s="93">
        <f t="shared" si="12"/>
        <v>0</v>
      </c>
      <c r="G105" s="95"/>
      <c r="H105" s="93">
        <f t="shared" si="13"/>
        <v>0</v>
      </c>
      <c r="I105" s="95"/>
      <c r="J105" s="93">
        <f t="shared" si="14"/>
        <v>0</v>
      </c>
      <c r="K105" s="93">
        <f t="shared" si="15"/>
        <v>0</v>
      </c>
    </row>
    <row r="106" spans="1:11" s="34" customFormat="1" ht="13.8">
      <c r="A106" s="20"/>
      <c r="B106" s="33" t="s">
        <v>65</v>
      </c>
      <c r="C106" s="22" t="s">
        <v>26</v>
      </c>
      <c r="D106" s="241">
        <f>D101*0.55</f>
        <v>31.927500000000002</v>
      </c>
      <c r="E106" s="88"/>
      <c r="F106" s="93">
        <f t="shared" si="12"/>
        <v>0</v>
      </c>
      <c r="G106" s="95"/>
      <c r="H106" s="93"/>
      <c r="I106" s="95"/>
      <c r="J106" s="93"/>
      <c r="K106" s="93">
        <f t="shared" si="15"/>
        <v>0</v>
      </c>
    </row>
    <row r="107" spans="1:11" s="34" customFormat="1" ht="13.8">
      <c r="A107" s="20"/>
      <c r="B107" s="33" t="s">
        <v>66</v>
      </c>
      <c r="C107" s="22" t="s">
        <v>26</v>
      </c>
      <c r="D107" s="241">
        <f>D101*0.49</f>
        <v>28.444499999999998</v>
      </c>
      <c r="E107" s="88"/>
      <c r="F107" s="93">
        <f t="shared" si="12"/>
        <v>0</v>
      </c>
      <c r="G107" s="95"/>
      <c r="H107" s="93"/>
      <c r="I107" s="95"/>
      <c r="J107" s="93"/>
      <c r="K107" s="93">
        <f t="shared" si="15"/>
        <v>0</v>
      </c>
    </row>
    <row r="108" spans="1:11" s="34" customFormat="1" ht="13.8">
      <c r="A108" s="20"/>
      <c r="B108" s="33" t="s">
        <v>30</v>
      </c>
      <c r="C108" s="22" t="s">
        <v>26</v>
      </c>
      <c r="D108" s="241">
        <f>D101*0.04</f>
        <v>2.3220000000000001</v>
      </c>
      <c r="E108" s="88"/>
      <c r="F108" s="93">
        <f t="shared" si="12"/>
        <v>0</v>
      </c>
      <c r="G108" s="95"/>
      <c r="H108" s="93"/>
      <c r="I108" s="95"/>
      <c r="J108" s="93"/>
      <c r="K108" s="93">
        <f t="shared" si="15"/>
        <v>0</v>
      </c>
    </row>
    <row r="109" spans="1:11" s="34" customFormat="1" ht="13.8">
      <c r="A109" s="20"/>
      <c r="B109" s="33" t="s">
        <v>21</v>
      </c>
      <c r="C109" s="22" t="s">
        <v>20</v>
      </c>
      <c r="D109" s="241">
        <f>D101*0.656</f>
        <v>38.080799999999996</v>
      </c>
      <c r="E109" s="88"/>
      <c r="F109" s="93">
        <f t="shared" si="12"/>
        <v>0</v>
      </c>
      <c r="G109" s="95"/>
      <c r="H109" s="93"/>
      <c r="I109" s="95"/>
      <c r="J109" s="93"/>
      <c r="K109" s="93">
        <f t="shared" si="15"/>
        <v>0</v>
      </c>
    </row>
    <row r="110" spans="1:11" s="34" customFormat="1" ht="41.4">
      <c r="A110" s="20">
        <f>A101+1</f>
        <v>14</v>
      </c>
      <c r="B110" s="21" t="s">
        <v>157</v>
      </c>
      <c r="C110" s="20" t="s">
        <v>29</v>
      </c>
      <c r="D110" s="235">
        <f>(35.8+26.55+10.15)</f>
        <v>72.5</v>
      </c>
      <c r="E110" s="92"/>
      <c r="F110" s="93"/>
      <c r="G110" s="95"/>
      <c r="H110" s="93"/>
      <c r="I110" s="95"/>
      <c r="J110" s="93"/>
      <c r="K110" s="93"/>
    </row>
    <row r="111" spans="1:11" s="32" customFormat="1" ht="13.8">
      <c r="A111" s="20"/>
      <c r="B111" s="33" t="s">
        <v>15</v>
      </c>
      <c r="C111" s="22" t="str">
        <f>C110</f>
        <v>მ²</v>
      </c>
      <c r="D111" s="216">
        <f>D110</f>
        <v>72.5</v>
      </c>
      <c r="E111" s="88"/>
      <c r="F111" s="93">
        <f t="shared" si="12"/>
        <v>0</v>
      </c>
      <c r="G111" s="95"/>
      <c r="H111" s="93">
        <f t="shared" si="13"/>
        <v>0</v>
      </c>
      <c r="I111" s="95"/>
      <c r="J111" s="93">
        <f t="shared" si="14"/>
        <v>0</v>
      </c>
      <c r="K111" s="93">
        <f t="shared" si="15"/>
        <v>0</v>
      </c>
    </row>
    <row r="112" spans="1:11" s="34" customFormat="1" ht="13.8">
      <c r="A112" s="20"/>
      <c r="B112" s="33" t="s">
        <v>8</v>
      </c>
      <c r="C112" s="22" t="s">
        <v>20</v>
      </c>
      <c r="D112" s="216">
        <f>D110*0.54</f>
        <v>39.150000000000006</v>
      </c>
      <c r="E112" s="88"/>
      <c r="F112" s="93">
        <f t="shared" si="12"/>
        <v>0</v>
      </c>
      <c r="G112" s="95"/>
      <c r="H112" s="93">
        <f t="shared" si="13"/>
        <v>0</v>
      </c>
      <c r="I112" s="95"/>
      <c r="J112" s="93">
        <f t="shared" si="14"/>
        <v>0</v>
      </c>
      <c r="K112" s="93">
        <f t="shared" si="15"/>
        <v>0</v>
      </c>
    </row>
    <row r="113" spans="1:11" s="34" customFormat="1" ht="13.8">
      <c r="A113" s="20"/>
      <c r="B113" s="33" t="s">
        <v>16</v>
      </c>
      <c r="C113" s="22"/>
      <c r="D113" s="216"/>
      <c r="E113" s="88"/>
      <c r="F113" s="93"/>
      <c r="G113" s="95"/>
      <c r="H113" s="93"/>
      <c r="I113" s="95"/>
      <c r="J113" s="93"/>
      <c r="K113" s="93"/>
    </row>
    <row r="114" spans="1:11" s="34" customFormat="1" ht="13.8">
      <c r="A114" s="20"/>
      <c r="B114" s="33" t="s">
        <v>64</v>
      </c>
      <c r="C114" s="22" t="s">
        <v>29</v>
      </c>
      <c r="D114" s="216">
        <f>D110</f>
        <v>72.5</v>
      </c>
      <c r="E114" s="88"/>
      <c r="F114" s="93">
        <f t="shared" si="12"/>
        <v>0</v>
      </c>
      <c r="G114" s="95"/>
      <c r="H114" s="93">
        <f t="shared" si="13"/>
        <v>0</v>
      </c>
      <c r="I114" s="95"/>
      <c r="J114" s="93">
        <f t="shared" si="14"/>
        <v>0</v>
      </c>
      <c r="K114" s="93">
        <f t="shared" si="15"/>
        <v>0</v>
      </c>
    </row>
    <row r="115" spans="1:11" s="34" customFormat="1" ht="13.8">
      <c r="A115" s="20"/>
      <c r="B115" s="33" t="s">
        <v>65</v>
      </c>
      <c r="C115" s="22" t="s">
        <v>26</v>
      </c>
      <c r="D115" s="216">
        <f>D110*0.55</f>
        <v>39.875</v>
      </c>
      <c r="E115" s="88"/>
      <c r="F115" s="93">
        <f t="shared" si="12"/>
        <v>0</v>
      </c>
      <c r="G115" s="95"/>
      <c r="H115" s="93">
        <f t="shared" si="13"/>
        <v>0</v>
      </c>
      <c r="I115" s="95"/>
      <c r="J115" s="93">
        <f t="shared" si="14"/>
        <v>0</v>
      </c>
      <c r="K115" s="93">
        <f t="shared" si="15"/>
        <v>0</v>
      </c>
    </row>
    <row r="116" spans="1:11" s="34" customFormat="1" ht="13.8">
      <c r="A116" s="20"/>
      <c r="B116" s="33" t="s">
        <v>66</v>
      </c>
      <c r="C116" s="22" t="s">
        <v>26</v>
      </c>
      <c r="D116" s="216">
        <f>D110*0.49</f>
        <v>35.524999999999999</v>
      </c>
      <c r="E116" s="88"/>
      <c r="F116" s="93">
        <f t="shared" si="12"/>
        <v>0</v>
      </c>
      <c r="G116" s="95"/>
      <c r="H116" s="93">
        <f t="shared" si="13"/>
        <v>0</v>
      </c>
      <c r="I116" s="95"/>
      <c r="J116" s="93">
        <f t="shared" si="14"/>
        <v>0</v>
      </c>
      <c r="K116" s="93">
        <f t="shared" si="15"/>
        <v>0</v>
      </c>
    </row>
    <row r="117" spans="1:11" s="5" customFormat="1" ht="13.8">
      <c r="A117" s="20"/>
      <c r="B117" s="33" t="s">
        <v>30</v>
      </c>
      <c r="C117" s="22" t="s">
        <v>26</v>
      </c>
      <c r="D117" s="216">
        <f>D110*0.04</f>
        <v>2.9</v>
      </c>
      <c r="E117" s="88"/>
      <c r="F117" s="93">
        <f t="shared" si="12"/>
        <v>0</v>
      </c>
      <c r="G117" s="95"/>
      <c r="H117" s="93">
        <f t="shared" si="13"/>
        <v>0</v>
      </c>
      <c r="I117" s="95"/>
      <c r="J117" s="93">
        <f t="shared" si="14"/>
        <v>0</v>
      </c>
      <c r="K117" s="93">
        <f t="shared" si="15"/>
        <v>0</v>
      </c>
    </row>
    <row r="118" spans="1:11" s="6" customFormat="1" ht="13.8">
      <c r="A118" s="20"/>
      <c r="B118" s="33" t="s">
        <v>21</v>
      </c>
      <c r="C118" s="22" t="s">
        <v>20</v>
      </c>
      <c r="D118" s="216">
        <f>D110*0.656</f>
        <v>47.56</v>
      </c>
      <c r="E118" s="91"/>
      <c r="F118" s="93">
        <f t="shared" si="12"/>
        <v>0</v>
      </c>
      <c r="G118" s="95"/>
      <c r="H118" s="93">
        <f t="shared" si="13"/>
        <v>0</v>
      </c>
      <c r="I118" s="95"/>
      <c r="J118" s="93">
        <f t="shared" si="14"/>
        <v>0</v>
      </c>
      <c r="K118" s="93">
        <f t="shared" si="15"/>
        <v>0</v>
      </c>
    </row>
    <row r="119" spans="1:11" s="6" customFormat="1" ht="27.6">
      <c r="A119" s="20">
        <v>15</v>
      </c>
      <c r="B119" s="21" t="s">
        <v>67</v>
      </c>
      <c r="C119" s="20" t="s">
        <v>28</v>
      </c>
      <c r="D119" s="198">
        <v>60</v>
      </c>
      <c r="E119" s="92"/>
      <c r="F119" s="93"/>
      <c r="G119" s="95"/>
      <c r="H119" s="93"/>
      <c r="I119" s="95"/>
      <c r="J119" s="93"/>
      <c r="K119" s="93"/>
    </row>
    <row r="120" spans="1:11" s="6" customFormat="1" ht="13.8">
      <c r="A120" s="20"/>
      <c r="B120" s="33" t="s">
        <v>15</v>
      </c>
      <c r="C120" s="22" t="s">
        <v>28</v>
      </c>
      <c r="D120" s="216">
        <f>D119</f>
        <v>60</v>
      </c>
      <c r="E120" s="88"/>
      <c r="F120" s="93">
        <f t="shared" si="12"/>
        <v>0</v>
      </c>
      <c r="G120" s="95"/>
      <c r="H120" s="93">
        <f t="shared" si="13"/>
        <v>0</v>
      </c>
      <c r="I120" s="95"/>
      <c r="J120" s="93">
        <f t="shared" si="14"/>
        <v>0</v>
      </c>
      <c r="K120" s="93">
        <f t="shared" si="15"/>
        <v>0</v>
      </c>
    </row>
    <row r="121" spans="1:11" s="6" customFormat="1" ht="13.8">
      <c r="A121" s="20"/>
      <c r="B121" s="33" t="s">
        <v>6</v>
      </c>
      <c r="C121" s="22"/>
      <c r="D121" s="216"/>
      <c r="E121" s="88"/>
      <c r="F121" s="93"/>
      <c r="G121" s="95"/>
      <c r="H121" s="93"/>
      <c r="I121" s="95"/>
      <c r="J121" s="93"/>
      <c r="K121" s="93"/>
    </row>
    <row r="122" spans="1:11" s="6" customFormat="1" ht="13.8">
      <c r="A122" s="20"/>
      <c r="B122" s="33" t="s">
        <v>68</v>
      </c>
      <c r="C122" s="22" t="s">
        <v>28</v>
      </c>
      <c r="D122" s="216">
        <f>D119</f>
        <v>60</v>
      </c>
      <c r="E122" s="88"/>
      <c r="F122" s="93">
        <f t="shared" si="12"/>
        <v>0</v>
      </c>
      <c r="G122" s="95"/>
      <c r="H122" s="93">
        <f t="shared" si="13"/>
        <v>0</v>
      </c>
      <c r="I122" s="95"/>
      <c r="J122" s="93">
        <f t="shared" si="14"/>
        <v>0</v>
      </c>
      <c r="K122" s="93">
        <f t="shared" si="15"/>
        <v>0</v>
      </c>
    </row>
    <row r="123" spans="1:11" s="6" customFormat="1" ht="13.8">
      <c r="A123" s="20"/>
      <c r="B123" s="33" t="s">
        <v>70</v>
      </c>
      <c r="C123" s="22" t="s">
        <v>31</v>
      </c>
      <c r="D123" s="216">
        <v>10</v>
      </c>
      <c r="E123" s="88"/>
      <c r="F123" s="93">
        <f t="shared" si="12"/>
        <v>0</v>
      </c>
      <c r="G123" s="95"/>
      <c r="H123" s="93">
        <f t="shared" si="13"/>
        <v>0</v>
      </c>
      <c r="I123" s="95"/>
      <c r="J123" s="93">
        <f t="shared" si="14"/>
        <v>0</v>
      </c>
      <c r="K123" s="93">
        <f t="shared" si="15"/>
        <v>0</v>
      </c>
    </row>
    <row r="124" spans="1:11" s="6" customFormat="1" ht="13.8">
      <c r="A124" s="20"/>
      <c r="B124" s="33" t="s">
        <v>69</v>
      </c>
      <c r="C124" s="22" t="s">
        <v>31</v>
      </c>
      <c r="D124" s="216">
        <v>20</v>
      </c>
      <c r="E124" s="88"/>
      <c r="F124" s="93">
        <f t="shared" si="12"/>
        <v>0</v>
      </c>
      <c r="G124" s="95"/>
      <c r="H124" s="93">
        <f t="shared" si="13"/>
        <v>0</v>
      </c>
      <c r="I124" s="95"/>
      <c r="J124" s="93">
        <f t="shared" si="14"/>
        <v>0</v>
      </c>
      <c r="K124" s="93">
        <f t="shared" si="15"/>
        <v>0</v>
      </c>
    </row>
    <row r="125" spans="1:11" s="6" customFormat="1" ht="27.6">
      <c r="A125" s="233">
        <v>15</v>
      </c>
      <c r="B125" s="234" t="s">
        <v>183</v>
      </c>
      <c r="C125" s="233" t="s">
        <v>28</v>
      </c>
      <c r="D125" s="235">
        <v>24.56</v>
      </c>
      <c r="E125" s="236"/>
      <c r="F125" s="237"/>
      <c r="G125" s="238"/>
      <c r="H125" s="237"/>
      <c r="I125" s="238"/>
      <c r="J125" s="237"/>
      <c r="K125" s="237"/>
    </row>
    <row r="126" spans="1:11" s="6" customFormat="1" ht="13.8">
      <c r="A126" s="233"/>
      <c r="B126" s="239" t="s">
        <v>15</v>
      </c>
      <c r="C126" s="240" t="s">
        <v>28</v>
      </c>
      <c r="D126" s="241">
        <f>D125</f>
        <v>24.56</v>
      </c>
      <c r="E126" s="242"/>
      <c r="F126" s="237">
        <f t="shared" ref="F126" si="24">E126*D126</f>
        <v>0</v>
      </c>
      <c r="G126" s="238"/>
      <c r="H126" s="237">
        <f t="shared" ref="H126" si="25">G126*D126</f>
        <v>0</v>
      </c>
      <c r="I126" s="238"/>
      <c r="J126" s="237">
        <f t="shared" ref="J126" si="26">I126*D126</f>
        <v>0</v>
      </c>
      <c r="K126" s="237">
        <f t="shared" ref="K126:K131" si="27">J126+H126+F126</f>
        <v>0</v>
      </c>
    </row>
    <row r="127" spans="1:11" s="6" customFormat="1" ht="13.8">
      <c r="A127" s="233"/>
      <c r="B127" s="239" t="s">
        <v>6</v>
      </c>
      <c r="C127" s="240"/>
      <c r="D127" s="241"/>
      <c r="E127" s="242"/>
      <c r="F127" s="237"/>
      <c r="G127" s="238"/>
      <c r="H127" s="237"/>
      <c r="I127" s="238"/>
      <c r="J127" s="237"/>
      <c r="K127" s="237">
        <f t="shared" si="27"/>
        <v>0</v>
      </c>
    </row>
    <row r="128" spans="1:11" s="6" customFormat="1" ht="13.8">
      <c r="A128" s="233"/>
      <c r="B128" s="239" t="s">
        <v>182</v>
      </c>
      <c r="C128" s="240" t="s">
        <v>28</v>
      </c>
      <c r="D128" s="241">
        <f>D125</f>
        <v>24.56</v>
      </c>
      <c r="E128" s="242"/>
      <c r="F128" s="237">
        <f t="shared" ref="F128:F131" si="28">E128*D128</f>
        <v>0</v>
      </c>
      <c r="G128" s="238"/>
      <c r="H128" s="237">
        <f t="shared" ref="H128:H131" si="29">G128*D128</f>
        <v>0</v>
      </c>
      <c r="I128" s="238"/>
      <c r="J128" s="237">
        <f t="shared" ref="J128:J131" si="30">I128*D128</f>
        <v>0</v>
      </c>
      <c r="K128" s="237">
        <f t="shared" si="27"/>
        <v>0</v>
      </c>
    </row>
    <row r="129" spans="1:11" s="6" customFormat="1" ht="13.8">
      <c r="A129" s="233"/>
      <c r="B129" s="239" t="s">
        <v>184</v>
      </c>
      <c r="C129" s="240" t="s">
        <v>186</v>
      </c>
      <c r="D129" s="241">
        <f>D125*0.35</f>
        <v>8.5959999999999983</v>
      </c>
      <c r="E129" s="242"/>
      <c r="F129" s="237">
        <f t="shared" si="28"/>
        <v>0</v>
      </c>
      <c r="G129" s="238"/>
      <c r="H129" s="237"/>
      <c r="I129" s="238"/>
      <c r="J129" s="237"/>
      <c r="K129" s="237">
        <f t="shared" si="27"/>
        <v>0</v>
      </c>
    </row>
    <row r="130" spans="1:11" s="6" customFormat="1" ht="13.8">
      <c r="A130" s="233"/>
      <c r="B130" s="239" t="s">
        <v>185</v>
      </c>
      <c r="C130" s="240" t="s">
        <v>186</v>
      </c>
      <c r="D130" s="241">
        <f>D125*0.45</f>
        <v>11.052</v>
      </c>
      <c r="E130" s="242"/>
      <c r="F130" s="237">
        <f t="shared" si="28"/>
        <v>0</v>
      </c>
      <c r="G130" s="238"/>
      <c r="H130" s="237">
        <f t="shared" si="29"/>
        <v>0</v>
      </c>
      <c r="I130" s="238"/>
      <c r="J130" s="237">
        <f t="shared" si="30"/>
        <v>0</v>
      </c>
      <c r="K130" s="237">
        <f t="shared" si="27"/>
        <v>0</v>
      </c>
    </row>
    <row r="131" spans="1:11" s="6" customFormat="1" ht="13.8">
      <c r="A131" s="233"/>
      <c r="B131" s="239" t="s">
        <v>69</v>
      </c>
      <c r="C131" s="240" t="s">
        <v>31</v>
      </c>
      <c r="D131" s="241">
        <v>20</v>
      </c>
      <c r="E131" s="242"/>
      <c r="F131" s="237">
        <f t="shared" si="28"/>
        <v>0</v>
      </c>
      <c r="G131" s="238"/>
      <c r="H131" s="237">
        <f t="shared" si="29"/>
        <v>0</v>
      </c>
      <c r="I131" s="238"/>
      <c r="J131" s="237">
        <f t="shared" si="30"/>
        <v>0</v>
      </c>
      <c r="K131" s="237">
        <f t="shared" si="27"/>
        <v>0</v>
      </c>
    </row>
    <row r="132" spans="1:11" ht="27.6">
      <c r="A132" s="36">
        <f>A119+1</f>
        <v>16</v>
      </c>
      <c r="B132" s="243" t="s">
        <v>187</v>
      </c>
      <c r="C132" s="36" t="s">
        <v>152</v>
      </c>
      <c r="D132" s="244">
        <v>8</v>
      </c>
      <c r="E132" s="245"/>
      <c r="F132" s="246"/>
      <c r="G132" s="246"/>
      <c r="H132" s="246"/>
      <c r="I132" s="246"/>
      <c r="J132" s="246"/>
      <c r="K132" s="246"/>
    </row>
    <row r="133" spans="1:11" ht="25.8" customHeight="1">
      <c r="A133" s="36"/>
      <c r="B133" s="239" t="s">
        <v>48</v>
      </c>
      <c r="C133" s="240" t="s">
        <v>152</v>
      </c>
      <c r="D133" s="241">
        <f>D132*0.9</f>
        <v>7.2</v>
      </c>
      <c r="E133" s="246"/>
      <c r="F133" s="246">
        <f t="shared" ref="F133:F134" si="31">E133*D133</f>
        <v>0</v>
      </c>
      <c r="G133" s="246"/>
      <c r="H133" s="246">
        <f t="shared" ref="H133:H134" si="32">G133*D133</f>
        <v>0</v>
      </c>
      <c r="I133" s="246"/>
      <c r="J133" s="246">
        <f t="shared" ref="J133:J134" si="33">I133*D133</f>
        <v>0</v>
      </c>
      <c r="K133" s="246">
        <f t="shared" ref="K133:K137" si="34">J133+H133+F133</f>
        <v>0</v>
      </c>
    </row>
    <row r="134" spans="1:11">
      <c r="A134" s="36"/>
      <c r="B134" s="239" t="s">
        <v>19</v>
      </c>
      <c r="C134" s="240" t="s">
        <v>20</v>
      </c>
      <c r="D134" s="241">
        <f>D132*0.08</f>
        <v>0.64</v>
      </c>
      <c r="E134" s="246"/>
      <c r="F134" s="246">
        <f t="shared" si="31"/>
        <v>0</v>
      </c>
      <c r="G134" s="246"/>
      <c r="H134" s="246">
        <f t="shared" si="32"/>
        <v>0</v>
      </c>
      <c r="I134" s="247"/>
      <c r="J134" s="246">
        <f t="shared" si="33"/>
        <v>0</v>
      </c>
      <c r="K134" s="246">
        <f t="shared" si="34"/>
        <v>0</v>
      </c>
    </row>
    <row r="135" spans="1:11">
      <c r="A135" s="36"/>
      <c r="B135" s="239" t="s">
        <v>49</v>
      </c>
      <c r="C135" s="240"/>
      <c r="D135" s="241"/>
      <c r="E135" s="246"/>
      <c r="F135" s="246"/>
      <c r="G135" s="246"/>
      <c r="H135" s="246"/>
      <c r="I135" s="246"/>
      <c r="J135" s="246"/>
      <c r="K135" s="246">
        <f t="shared" si="34"/>
        <v>0</v>
      </c>
    </row>
    <row r="136" spans="1:11">
      <c r="A136" s="36"/>
      <c r="B136" s="248" t="s">
        <v>173</v>
      </c>
      <c r="C136" s="240" t="s">
        <v>152</v>
      </c>
      <c r="D136" s="241">
        <f>D132*1.05</f>
        <v>8.4</v>
      </c>
      <c r="E136" s="246"/>
      <c r="F136" s="246">
        <f t="shared" ref="F136:F137" si="35">E136*D136</f>
        <v>0</v>
      </c>
      <c r="G136" s="246"/>
      <c r="H136" s="246">
        <f t="shared" ref="H136" si="36">G136*D136</f>
        <v>0</v>
      </c>
      <c r="I136" s="246"/>
      <c r="J136" s="246">
        <f t="shared" ref="J136" si="37">I136*D136</f>
        <v>0</v>
      </c>
      <c r="K136" s="246">
        <f t="shared" si="34"/>
        <v>0</v>
      </c>
    </row>
    <row r="137" spans="1:11">
      <c r="A137" s="36"/>
      <c r="B137" s="239" t="s">
        <v>21</v>
      </c>
      <c r="C137" s="240" t="s">
        <v>20</v>
      </c>
      <c r="D137" s="241">
        <f>D132*0.4</f>
        <v>3.2</v>
      </c>
      <c r="E137" s="246"/>
      <c r="F137" s="246">
        <f t="shared" si="35"/>
        <v>0</v>
      </c>
      <c r="G137" s="246"/>
      <c r="H137" s="246"/>
      <c r="I137" s="246"/>
      <c r="J137" s="246"/>
      <c r="K137" s="246">
        <f t="shared" si="34"/>
        <v>0</v>
      </c>
    </row>
    <row r="138" spans="1:11" ht="27.6">
      <c r="A138" s="23">
        <f>A132+1</f>
        <v>17</v>
      </c>
      <c r="B138" s="21" t="s">
        <v>119</v>
      </c>
      <c r="C138" s="20" t="s">
        <v>120</v>
      </c>
      <c r="D138" s="198">
        <v>10</v>
      </c>
      <c r="E138" s="90"/>
      <c r="F138" s="93">
        <f t="shared" ref="F138:F139" si="38">E138*D138</f>
        <v>0</v>
      </c>
      <c r="G138" s="93"/>
      <c r="H138" s="93">
        <f t="shared" ref="H138:H139" si="39">G138*D138</f>
        <v>0</v>
      </c>
      <c r="I138" s="93"/>
      <c r="J138" s="93">
        <f t="shared" ref="J138:J139" si="40">I138*D138</f>
        <v>0</v>
      </c>
      <c r="K138" s="93">
        <f t="shared" ref="K138:K139" si="41">J138+H138+F138</f>
        <v>0</v>
      </c>
    </row>
    <row r="139" spans="1:11">
      <c r="A139" s="23">
        <f>A138+1</f>
        <v>18</v>
      </c>
      <c r="B139" s="27" t="s">
        <v>32</v>
      </c>
      <c r="C139" s="20" t="s">
        <v>121</v>
      </c>
      <c r="D139" s="101">
        <f>კონსტრუქცია!D152</f>
        <v>180</v>
      </c>
      <c r="E139" s="90"/>
      <c r="F139" s="93">
        <f t="shared" si="38"/>
        <v>0</v>
      </c>
      <c r="G139" s="93"/>
      <c r="H139" s="93">
        <f t="shared" si="39"/>
        <v>0</v>
      </c>
      <c r="I139" s="93"/>
      <c r="J139" s="93">
        <f t="shared" si="40"/>
        <v>0</v>
      </c>
      <c r="K139" s="93">
        <f t="shared" si="41"/>
        <v>0</v>
      </c>
    </row>
    <row r="140" spans="1:11">
      <c r="A140" s="82"/>
      <c r="B140" s="87" t="s">
        <v>34</v>
      </c>
      <c r="C140" s="84"/>
      <c r="D140" s="85"/>
      <c r="E140" s="86"/>
      <c r="F140" s="252">
        <f>SUM(F11:F139)</f>
        <v>0</v>
      </c>
      <c r="G140" s="252"/>
      <c r="H140" s="252">
        <f>SUM(H11:H139)</f>
        <v>0</v>
      </c>
      <c r="I140" s="252"/>
      <c r="J140" s="252">
        <f>SUM(J11:J139)</f>
        <v>0</v>
      </c>
      <c r="K140" s="252">
        <f>SUM(K11:K139)</f>
        <v>0</v>
      </c>
    </row>
    <row r="141" spans="1:11">
      <c r="A141" s="35"/>
      <c r="B141" s="36" t="s">
        <v>35</v>
      </c>
      <c r="C141" s="37"/>
      <c r="D141" s="31"/>
      <c r="E141" s="62"/>
      <c r="F141" s="253"/>
      <c r="G141" s="253"/>
      <c r="H141" s="253"/>
      <c r="I141" s="253"/>
      <c r="J141" s="253"/>
      <c r="K141" s="253">
        <f>F140*C141</f>
        <v>0</v>
      </c>
    </row>
    <row r="142" spans="1:11">
      <c r="A142" s="35"/>
      <c r="B142" s="29" t="s">
        <v>34</v>
      </c>
      <c r="C142" s="38"/>
      <c r="D142" s="31"/>
      <c r="E142" s="62"/>
      <c r="F142" s="253"/>
      <c r="G142" s="253"/>
      <c r="H142" s="253"/>
      <c r="I142" s="253"/>
      <c r="J142" s="253"/>
      <c r="K142" s="253">
        <f>SUM(K140:K141)</f>
        <v>0</v>
      </c>
    </row>
    <row r="143" spans="1:11">
      <c r="A143" s="35"/>
      <c r="B143" s="29" t="s">
        <v>36</v>
      </c>
      <c r="C143" s="39"/>
      <c r="D143" s="31"/>
      <c r="E143" s="62"/>
      <c r="F143" s="253"/>
      <c r="G143" s="253"/>
      <c r="H143" s="253"/>
      <c r="I143" s="253"/>
      <c r="J143" s="253"/>
      <c r="K143" s="253">
        <f>K142*C143</f>
        <v>0</v>
      </c>
    </row>
    <row r="144" spans="1:11">
      <c r="A144" s="35"/>
      <c r="B144" s="29" t="s">
        <v>34</v>
      </c>
      <c r="C144" s="38"/>
      <c r="D144" s="31"/>
      <c r="E144" s="62"/>
      <c r="F144" s="253"/>
      <c r="G144" s="253"/>
      <c r="H144" s="253"/>
      <c r="I144" s="253"/>
      <c r="J144" s="253"/>
      <c r="K144" s="253">
        <f>SUM(K142:K143)</f>
        <v>0</v>
      </c>
    </row>
    <row r="145" spans="1:11">
      <c r="A145" s="35"/>
      <c r="B145" s="29" t="s">
        <v>37</v>
      </c>
      <c r="C145" s="40"/>
      <c r="D145" s="31"/>
      <c r="E145" s="62"/>
      <c r="F145" s="253"/>
      <c r="G145" s="253"/>
      <c r="H145" s="253"/>
      <c r="I145" s="253"/>
      <c r="J145" s="253"/>
      <c r="K145" s="253">
        <f>K144*C145</f>
        <v>0</v>
      </c>
    </row>
    <row r="146" spans="1:11">
      <c r="A146" s="35"/>
      <c r="B146" s="29" t="s">
        <v>34</v>
      </c>
      <c r="C146" s="38"/>
      <c r="D146" s="31"/>
      <c r="E146" s="62"/>
      <c r="F146" s="253"/>
      <c r="G146" s="253"/>
      <c r="H146" s="253"/>
      <c r="I146" s="253"/>
      <c r="J146" s="253"/>
      <c r="K146" s="253">
        <f>SUM(K144:K145)</f>
        <v>0</v>
      </c>
    </row>
    <row r="147" spans="1:11">
      <c r="A147" s="35"/>
      <c r="B147" s="29" t="s">
        <v>38</v>
      </c>
      <c r="C147" s="41"/>
      <c r="D147" s="31"/>
      <c r="E147" s="62"/>
      <c r="F147" s="253"/>
      <c r="G147" s="253"/>
      <c r="H147" s="253"/>
      <c r="I147" s="253"/>
      <c r="J147" s="253"/>
      <c r="K147" s="253">
        <f>K146*C147</f>
        <v>0</v>
      </c>
    </row>
    <row r="148" spans="1:11">
      <c r="A148" s="82"/>
      <c r="B148" s="83" t="s">
        <v>34</v>
      </c>
      <c r="C148" s="84"/>
      <c r="D148" s="85"/>
      <c r="E148" s="86"/>
      <c r="F148" s="252"/>
      <c r="G148" s="252"/>
      <c r="H148" s="252"/>
      <c r="I148" s="252"/>
      <c r="J148" s="252"/>
      <c r="K148" s="252">
        <f>SUM(K146:K147)</f>
        <v>0</v>
      </c>
    </row>
    <row r="150" spans="1:11">
      <c r="K150" s="59"/>
    </row>
    <row r="152" spans="1:11">
      <c r="H152" s="43"/>
    </row>
    <row r="153" spans="1:11">
      <c r="H153" s="43"/>
    </row>
    <row r="155" spans="1:11">
      <c r="H155" s="43"/>
    </row>
    <row r="157" spans="1:11">
      <c r="J157" s="97"/>
    </row>
    <row r="158" spans="1:11">
      <c r="J158" s="97"/>
    </row>
    <row r="159" spans="1:11">
      <c r="J159" s="97"/>
    </row>
    <row r="161" spans="10:10">
      <c r="J161" s="97"/>
    </row>
    <row r="162" spans="10:10">
      <c r="J162" s="97"/>
    </row>
  </sheetData>
  <autoFilter ref="A2:K156" xr:uid="{D368CC91-75A0-4969-934E-1A1E8DD7C681}"/>
  <mergeCells count="9">
    <mergeCell ref="A6:B6"/>
    <mergeCell ref="A2:K2"/>
    <mergeCell ref="A3:K3"/>
    <mergeCell ref="A8:A9"/>
    <mergeCell ref="B8:B9"/>
    <mergeCell ref="C8:C9"/>
    <mergeCell ref="E8:F8"/>
    <mergeCell ref="G8:H8"/>
    <mergeCell ref="I8:J8"/>
  </mergeCells>
  <printOptions horizontalCentered="1"/>
  <pageMargins left="0" right="0" top="0.39370078740157483" bottom="0.39370078740157483" header="0" footer="0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BF4D-8BEA-44A0-9188-C51D6772257F}">
  <sheetPr>
    <tabColor rgb="FF92D050"/>
    <pageSetUpPr fitToPage="1"/>
  </sheetPr>
  <dimension ref="A2:K100"/>
  <sheetViews>
    <sheetView view="pageBreakPreview" topLeftCell="A73" zoomScale="85" zoomScaleNormal="100" zoomScaleSheetLayoutView="85" workbookViewId="0">
      <selection activeCell="C91" sqref="C91"/>
    </sheetView>
  </sheetViews>
  <sheetFormatPr defaultColWidth="9.109375" defaultRowHeight="14.4"/>
  <cols>
    <col min="1" max="1" width="4.6640625" style="30" customWidth="1"/>
    <col min="2" max="2" width="38.109375" style="30" customWidth="1"/>
    <col min="3" max="3" width="9.33203125" style="30" customWidth="1"/>
    <col min="4" max="4" width="11" style="42" customWidth="1"/>
    <col min="5" max="5" width="10" style="30" customWidth="1"/>
    <col min="6" max="6" width="14.88671875" style="30" customWidth="1"/>
    <col min="7" max="7" width="10" style="30" customWidth="1"/>
    <col min="8" max="8" width="13.5546875" style="30" customWidth="1"/>
    <col min="9" max="9" width="11.88671875" style="30" customWidth="1"/>
    <col min="10" max="10" width="11.44140625" style="30" customWidth="1"/>
    <col min="11" max="11" width="15.109375" style="30" customWidth="1"/>
    <col min="12" max="16384" width="9.109375" style="30"/>
  </cols>
  <sheetData>
    <row r="2" spans="1:11" s="8" customFormat="1" ht="14.4" customHeight="1">
      <c r="A2" s="264" t="str">
        <f>ჯამური!A2</f>
        <v>Wendy სანაპირო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8" customFormat="1" ht="15.75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s="8" customFormat="1" ht="17.25" customHeight="1">
      <c r="A4" s="102" t="s">
        <v>96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8" customFormat="1">
      <c r="A5" s="44" t="s">
        <v>79</v>
      </c>
      <c r="B5" s="45" t="s">
        <v>80</v>
      </c>
      <c r="C5" s="9"/>
      <c r="D5" s="9"/>
      <c r="E5" s="9"/>
      <c r="F5" s="9"/>
      <c r="G5" s="9"/>
      <c r="H5" s="9"/>
      <c r="I5" s="9"/>
      <c r="J5" s="9"/>
      <c r="K5" s="9"/>
    </row>
    <row r="6" spans="1:11" s="12" customFormat="1" ht="13.8">
      <c r="A6" s="263" t="s">
        <v>188</v>
      </c>
      <c r="B6" s="263"/>
      <c r="C6" s="11"/>
      <c r="D6" s="11"/>
      <c r="E6" s="11"/>
      <c r="F6" s="11"/>
      <c r="G6" s="103" t="s">
        <v>1</v>
      </c>
      <c r="H6" s="103"/>
      <c r="I6" s="103"/>
      <c r="J6" s="104">
        <f>K92</f>
        <v>0</v>
      </c>
      <c r="K6" s="104"/>
    </row>
    <row r="7" spans="1:11" s="8" customFormat="1" ht="15.6">
      <c r="A7" s="9"/>
      <c r="B7" s="10"/>
      <c r="C7" s="9"/>
      <c r="D7" s="9"/>
      <c r="E7" s="9"/>
      <c r="F7" s="9"/>
      <c r="G7" s="13"/>
      <c r="H7" s="13"/>
      <c r="I7" s="13"/>
      <c r="J7" s="13"/>
      <c r="K7" s="251">
        <f>ჯამური!D6</f>
        <v>2.74</v>
      </c>
    </row>
    <row r="8" spans="1:11" s="14" customFormat="1" ht="40.200000000000003" customHeight="1">
      <c r="A8" s="279" t="s">
        <v>132</v>
      </c>
      <c r="B8" s="279" t="s">
        <v>3</v>
      </c>
      <c r="C8" s="281" t="s">
        <v>4</v>
      </c>
      <c r="D8" s="230" t="s">
        <v>5</v>
      </c>
      <c r="E8" s="277" t="s">
        <v>6</v>
      </c>
      <c r="F8" s="278"/>
      <c r="G8" s="277" t="s">
        <v>7</v>
      </c>
      <c r="H8" s="278"/>
      <c r="I8" s="277" t="s">
        <v>8</v>
      </c>
      <c r="J8" s="278"/>
      <c r="K8" s="231" t="s">
        <v>9</v>
      </c>
    </row>
    <row r="9" spans="1:11" s="14" customFormat="1" ht="28.8">
      <c r="A9" s="280"/>
      <c r="B9" s="280"/>
      <c r="C9" s="282"/>
      <c r="D9" s="232"/>
      <c r="E9" s="230" t="s">
        <v>112</v>
      </c>
      <c r="F9" s="231" t="s">
        <v>5</v>
      </c>
      <c r="G9" s="230" t="s">
        <v>112</v>
      </c>
      <c r="H9" s="231" t="s">
        <v>5</v>
      </c>
      <c r="I9" s="230" t="s">
        <v>112</v>
      </c>
      <c r="J9" s="231" t="s">
        <v>5</v>
      </c>
      <c r="K9" s="231"/>
    </row>
    <row r="10" spans="1:11" s="19" customFormat="1" ht="13.8">
      <c r="A10" s="15"/>
      <c r="B10" s="15" t="s">
        <v>44</v>
      </c>
      <c r="C10" s="15"/>
      <c r="D10" s="16"/>
      <c r="E10" s="17"/>
      <c r="F10" s="17"/>
      <c r="G10" s="17"/>
      <c r="H10" s="17"/>
      <c r="I10" s="17"/>
      <c r="J10" s="17"/>
      <c r="K10" s="18"/>
    </row>
    <row r="11" spans="1:11" s="19" customFormat="1" ht="13.8">
      <c r="A11" s="20">
        <v>1</v>
      </c>
      <c r="B11" s="21" t="s">
        <v>10</v>
      </c>
      <c r="C11" s="20" t="s">
        <v>11</v>
      </c>
      <c r="D11" s="198">
        <f>(767+41.35+37.87+81.23)*0.8</f>
        <v>741.96</v>
      </c>
      <c r="E11" s="60"/>
      <c r="F11" s="88"/>
      <c r="G11" s="88"/>
      <c r="H11" s="88"/>
      <c r="I11" s="88"/>
      <c r="J11" s="88"/>
      <c r="K11" s="88"/>
    </row>
    <row r="12" spans="1:11" s="24" customFormat="1" ht="13.8">
      <c r="A12" s="23"/>
      <c r="B12" s="199" t="s">
        <v>12</v>
      </c>
      <c r="C12" s="22" t="s">
        <v>11</v>
      </c>
      <c r="D12" s="200">
        <f>D11</f>
        <v>741.96</v>
      </c>
      <c r="E12" s="201"/>
      <c r="F12" s="88">
        <f t="shared" ref="F12:F64" si="0">E12*D12</f>
        <v>0</v>
      </c>
      <c r="G12" s="89"/>
      <c r="H12" s="88">
        <f t="shared" ref="H12:H64" si="1">G12*D12</f>
        <v>0</v>
      </c>
      <c r="I12" s="89"/>
      <c r="J12" s="88">
        <f t="shared" ref="J12:J64" si="2">I12*D12</f>
        <v>0</v>
      </c>
      <c r="K12" s="88">
        <f t="shared" ref="K12:K64" si="3">J12+H12+F12</f>
        <v>0</v>
      </c>
    </row>
    <row r="13" spans="1:11" s="24" customFormat="1" ht="27.6">
      <c r="A13" s="23">
        <f>A11+1</f>
        <v>2</v>
      </c>
      <c r="B13" s="21" t="s">
        <v>14</v>
      </c>
      <c r="C13" s="20" t="s">
        <v>11</v>
      </c>
      <c r="D13" s="202">
        <f>D11*5%</f>
        <v>37.098000000000006</v>
      </c>
      <c r="E13" s="201"/>
      <c r="F13" s="88"/>
      <c r="G13" s="89"/>
      <c r="H13" s="88"/>
      <c r="I13" s="89"/>
      <c r="J13" s="88"/>
      <c r="K13" s="88"/>
    </row>
    <row r="14" spans="1:11" s="24" customFormat="1" ht="13.8">
      <c r="A14" s="23"/>
      <c r="B14" s="199" t="s">
        <v>15</v>
      </c>
      <c r="C14" s="22" t="s">
        <v>11</v>
      </c>
      <c r="D14" s="200">
        <f>D13</f>
        <v>37.098000000000006</v>
      </c>
      <c r="E14" s="201"/>
      <c r="F14" s="88">
        <f t="shared" si="0"/>
        <v>0</v>
      </c>
      <c r="G14" s="89"/>
      <c r="H14" s="88">
        <f t="shared" si="1"/>
        <v>0</v>
      </c>
      <c r="I14" s="89"/>
      <c r="J14" s="88">
        <f t="shared" si="2"/>
        <v>0</v>
      </c>
      <c r="K14" s="88">
        <f t="shared" si="3"/>
        <v>0</v>
      </c>
    </row>
    <row r="15" spans="1:11" s="24" customFormat="1" ht="18" customHeight="1">
      <c r="A15" s="20">
        <f>A13+1</f>
        <v>3</v>
      </c>
      <c r="B15" s="21" t="s">
        <v>13</v>
      </c>
      <c r="C15" s="20" t="s">
        <v>11</v>
      </c>
      <c r="D15" s="198">
        <f>D11+D13</f>
        <v>779.05799999999999</v>
      </c>
      <c r="E15" s="60"/>
      <c r="F15" s="88">
        <f t="shared" si="0"/>
        <v>0</v>
      </c>
      <c r="G15" s="88"/>
      <c r="H15" s="88">
        <f t="shared" si="1"/>
        <v>0</v>
      </c>
      <c r="I15" s="88"/>
      <c r="J15" s="88">
        <f t="shared" si="2"/>
        <v>0</v>
      </c>
      <c r="K15" s="88">
        <f t="shared" si="3"/>
        <v>0</v>
      </c>
    </row>
    <row r="16" spans="1:11" s="24" customFormat="1" ht="27.6">
      <c r="A16" s="20">
        <f>A15+1</f>
        <v>4</v>
      </c>
      <c r="B16" s="21" t="s">
        <v>159</v>
      </c>
      <c r="C16" s="20" t="s">
        <v>11</v>
      </c>
      <c r="D16" s="198">
        <f>767*0.2</f>
        <v>153.4</v>
      </c>
      <c r="E16" s="60"/>
      <c r="F16" s="88"/>
      <c r="G16" s="88"/>
      <c r="H16" s="88"/>
      <c r="I16" s="88"/>
      <c r="J16" s="88"/>
      <c r="K16" s="88"/>
    </row>
    <row r="17" spans="1:11" s="24" customFormat="1" ht="13.8">
      <c r="A17" s="23"/>
      <c r="B17" s="199" t="s">
        <v>15</v>
      </c>
      <c r="C17" s="22" t="s">
        <v>11</v>
      </c>
      <c r="D17" s="200">
        <f>D16</f>
        <v>153.4</v>
      </c>
      <c r="E17" s="201"/>
      <c r="F17" s="88">
        <f t="shared" si="0"/>
        <v>0</v>
      </c>
      <c r="G17" s="89"/>
      <c r="H17" s="88">
        <f t="shared" si="1"/>
        <v>0</v>
      </c>
      <c r="I17" s="89"/>
      <c r="J17" s="88">
        <f t="shared" si="2"/>
        <v>0</v>
      </c>
      <c r="K17" s="88">
        <f t="shared" si="3"/>
        <v>0</v>
      </c>
    </row>
    <row r="18" spans="1:11" s="24" customFormat="1" ht="13.8">
      <c r="A18" s="23"/>
      <c r="B18" s="199" t="s">
        <v>8</v>
      </c>
      <c r="C18" s="22" t="s">
        <v>11</v>
      </c>
      <c r="D18" s="200">
        <f>D16</f>
        <v>153.4</v>
      </c>
      <c r="E18" s="201"/>
      <c r="F18" s="88">
        <f t="shared" si="0"/>
        <v>0</v>
      </c>
      <c r="G18" s="89"/>
      <c r="H18" s="88">
        <f t="shared" si="1"/>
        <v>0</v>
      </c>
      <c r="I18" s="89"/>
      <c r="J18" s="88">
        <f t="shared" si="2"/>
        <v>0</v>
      </c>
      <c r="K18" s="88">
        <f t="shared" si="3"/>
        <v>0</v>
      </c>
    </row>
    <row r="19" spans="1:11" s="24" customFormat="1" ht="13.8">
      <c r="A19" s="23"/>
      <c r="B19" s="199" t="s">
        <v>16</v>
      </c>
      <c r="C19" s="22"/>
      <c r="D19" s="200"/>
      <c r="E19" s="201"/>
      <c r="F19" s="88"/>
      <c r="G19" s="89"/>
      <c r="H19" s="88"/>
      <c r="I19" s="89"/>
      <c r="J19" s="88"/>
      <c r="K19" s="88"/>
    </row>
    <row r="20" spans="1:11" s="24" customFormat="1" ht="13.8">
      <c r="A20" s="23"/>
      <c r="B20" s="199" t="s">
        <v>98</v>
      </c>
      <c r="C20" s="22" t="s">
        <v>11</v>
      </c>
      <c r="D20" s="200">
        <f>D16*1.22</f>
        <v>187.148</v>
      </c>
      <c r="E20" s="201"/>
      <c r="F20" s="88">
        <f t="shared" si="0"/>
        <v>0</v>
      </c>
      <c r="G20" s="89"/>
      <c r="H20" s="88">
        <f t="shared" si="1"/>
        <v>0</v>
      </c>
      <c r="I20" s="89"/>
      <c r="J20" s="88">
        <f t="shared" si="2"/>
        <v>0</v>
      </c>
      <c r="K20" s="88">
        <f t="shared" si="3"/>
        <v>0</v>
      </c>
    </row>
    <row r="21" spans="1:11" s="26" customFormat="1" ht="15.6">
      <c r="A21" s="20"/>
      <c r="B21" s="65" t="s">
        <v>97</v>
      </c>
      <c r="C21" s="20"/>
      <c r="D21" s="198"/>
      <c r="E21" s="60"/>
      <c r="F21" s="88"/>
      <c r="G21" s="88"/>
      <c r="H21" s="88"/>
      <c r="I21" s="88"/>
      <c r="J21" s="88"/>
      <c r="K21" s="88"/>
    </row>
    <row r="22" spans="1:11" s="25" customFormat="1" ht="27.6">
      <c r="A22" s="20">
        <f>A16+1</f>
        <v>5</v>
      </c>
      <c r="B22" s="21" t="s">
        <v>174</v>
      </c>
      <c r="C22" s="20" t="s">
        <v>11</v>
      </c>
      <c r="D22" s="198">
        <f>767*0.6</f>
        <v>460.2</v>
      </c>
      <c r="E22" s="60"/>
      <c r="F22" s="88"/>
      <c r="G22" s="88"/>
      <c r="H22" s="88"/>
      <c r="I22" s="88"/>
      <c r="J22" s="88"/>
      <c r="K22" s="88"/>
    </row>
    <row r="23" spans="1:11" s="26" customFormat="1" ht="13.8">
      <c r="A23" s="23"/>
      <c r="B23" s="199" t="s">
        <v>15</v>
      </c>
      <c r="C23" s="22" t="s">
        <v>11</v>
      </c>
      <c r="D23" s="200">
        <f>D22</f>
        <v>460.2</v>
      </c>
      <c r="E23" s="201"/>
      <c r="F23" s="88">
        <f t="shared" si="0"/>
        <v>0</v>
      </c>
      <c r="G23" s="89"/>
      <c r="H23" s="88">
        <f t="shared" si="1"/>
        <v>0</v>
      </c>
      <c r="I23" s="89"/>
      <c r="J23" s="88">
        <f t="shared" si="2"/>
        <v>0</v>
      </c>
      <c r="K23" s="88">
        <f t="shared" si="3"/>
        <v>0</v>
      </c>
    </row>
    <row r="24" spans="1:11" s="26" customFormat="1" ht="13.8">
      <c r="A24" s="23"/>
      <c r="B24" s="199" t="s">
        <v>8</v>
      </c>
      <c r="C24" s="22" t="s">
        <v>11</v>
      </c>
      <c r="D24" s="200">
        <f>D22</f>
        <v>460.2</v>
      </c>
      <c r="E24" s="201"/>
      <c r="F24" s="88">
        <f t="shared" si="0"/>
        <v>0</v>
      </c>
      <c r="G24" s="89"/>
      <c r="H24" s="88">
        <f t="shared" si="1"/>
        <v>0</v>
      </c>
      <c r="I24" s="89"/>
      <c r="J24" s="88">
        <f t="shared" si="2"/>
        <v>0</v>
      </c>
      <c r="K24" s="88">
        <f t="shared" si="3"/>
        <v>0</v>
      </c>
    </row>
    <row r="25" spans="1:11" s="26" customFormat="1" ht="13.8">
      <c r="A25" s="23"/>
      <c r="B25" s="199" t="s">
        <v>16</v>
      </c>
      <c r="C25" s="22"/>
      <c r="D25" s="200"/>
      <c r="E25" s="201"/>
      <c r="F25" s="88"/>
      <c r="G25" s="89"/>
      <c r="H25" s="88"/>
      <c r="I25" s="89"/>
      <c r="J25" s="88"/>
      <c r="K25" s="88"/>
    </row>
    <row r="26" spans="1:11" s="26" customFormat="1" ht="13.8">
      <c r="A26" s="23"/>
      <c r="B26" s="199" t="s">
        <v>98</v>
      </c>
      <c r="C26" s="22" t="s">
        <v>11</v>
      </c>
      <c r="D26" s="200">
        <f>D22*1.22</f>
        <v>561.44399999999996</v>
      </c>
      <c r="E26" s="201"/>
      <c r="F26" s="88">
        <f t="shared" si="0"/>
        <v>0</v>
      </c>
      <c r="G26" s="89"/>
      <c r="H26" s="88">
        <f t="shared" si="1"/>
        <v>0</v>
      </c>
      <c r="I26" s="89"/>
      <c r="J26" s="88">
        <f t="shared" si="2"/>
        <v>0</v>
      </c>
      <c r="K26" s="88">
        <f t="shared" si="3"/>
        <v>0</v>
      </c>
    </row>
    <row r="27" spans="1:11" s="26" customFormat="1" ht="27.6">
      <c r="A27" s="20">
        <f>A22+1</f>
        <v>6</v>
      </c>
      <c r="B27" s="21" t="s">
        <v>107</v>
      </c>
      <c r="C27" s="20" t="s">
        <v>11</v>
      </c>
      <c r="D27" s="198">
        <f>767*0.12</f>
        <v>92.039999999999992</v>
      </c>
      <c r="E27" s="60"/>
      <c r="F27" s="88"/>
      <c r="G27" s="88"/>
      <c r="H27" s="88"/>
      <c r="I27" s="88"/>
      <c r="J27" s="88"/>
      <c r="K27" s="88"/>
    </row>
    <row r="28" spans="1:11" s="26" customFormat="1" ht="13.8">
      <c r="A28" s="23"/>
      <c r="B28" s="199" t="s">
        <v>15</v>
      </c>
      <c r="C28" s="22" t="s">
        <v>11</v>
      </c>
      <c r="D28" s="200">
        <f>D27</f>
        <v>92.039999999999992</v>
      </c>
      <c r="E28" s="201"/>
      <c r="F28" s="88">
        <f t="shared" si="0"/>
        <v>0</v>
      </c>
      <c r="G28" s="89"/>
      <c r="H28" s="88">
        <f t="shared" si="1"/>
        <v>0</v>
      </c>
      <c r="I28" s="89"/>
      <c r="J28" s="88">
        <f t="shared" si="2"/>
        <v>0</v>
      </c>
      <c r="K28" s="88">
        <f t="shared" si="3"/>
        <v>0</v>
      </c>
    </row>
    <row r="29" spans="1:11" s="26" customFormat="1" ht="13.8">
      <c r="A29" s="23"/>
      <c r="B29" s="199" t="s">
        <v>8</v>
      </c>
      <c r="C29" s="22" t="s">
        <v>11</v>
      </c>
      <c r="D29" s="200">
        <f>D27</f>
        <v>92.039999999999992</v>
      </c>
      <c r="E29" s="201"/>
      <c r="F29" s="88">
        <f t="shared" si="0"/>
        <v>0</v>
      </c>
      <c r="G29" s="89"/>
      <c r="H29" s="88">
        <f t="shared" si="1"/>
        <v>0</v>
      </c>
      <c r="I29" s="89"/>
      <c r="J29" s="88">
        <f t="shared" si="2"/>
        <v>0</v>
      </c>
      <c r="K29" s="88">
        <f t="shared" si="3"/>
        <v>0</v>
      </c>
    </row>
    <row r="30" spans="1:11" s="26" customFormat="1" ht="13.8">
      <c r="A30" s="23"/>
      <c r="B30" s="199" t="s">
        <v>16</v>
      </c>
      <c r="C30" s="22"/>
      <c r="D30" s="200"/>
      <c r="E30" s="201"/>
      <c r="F30" s="88"/>
      <c r="G30" s="89"/>
      <c r="H30" s="88"/>
      <c r="I30" s="89"/>
      <c r="J30" s="88"/>
      <c r="K30" s="88"/>
    </row>
    <row r="31" spans="1:11" s="26" customFormat="1" ht="13.8">
      <c r="A31" s="23"/>
      <c r="B31" s="199" t="s">
        <v>17</v>
      </c>
      <c r="C31" s="22" t="s">
        <v>11</v>
      </c>
      <c r="D31" s="200">
        <f>D27*1.22</f>
        <v>112.28879999999999</v>
      </c>
      <c r="E31" s="201"/>
      <c r="F31" s="88">
        <f t="shared" si="0"/>
        <v>0</v>
      </c>
      <c r="G31" s="89"/>
      <c r="H31" s="88">
        <f t="shared" si="1"/>
        <v>0</v>
      </c>
      <c r="I31" s="89"/>
      <c r="J31" s="88">
        <f t="shared" si="2"/>
        <v>0</v>
      </c>
      <c r="K31" s="88">
        <f t="shared" si="3"/>
        <v>0</v>
      </c>
    </row>
    <row r="32" spans="1:11" s="26" customFormat="1" ht="13.8">
      <c r="A32" s="20">
        <f>A27+1</f>
        <v>7</v>
      </c>
      <c r="B32" s="21" t="s">
        <v>161</v>
      </c>
      <c r="C32" s="20" t="s">
        <v>88</v>
      </c>
      <c r="D32" s="198">
        <f>D37*0.7/1000</f>
        <v>0.53689999999999993</v>
      </c>
      <c r="E32" s="60"/>
      <c r="F32" s="88"/>
      <c r="G32" s="88"/>
      <c r="H32" s="88"/>
      <c r="I32" s="88"/>
      <c r="J32" s="88"/>
      <c r="K32" s="88"/>
    </row>
    <row r="33" spans="1:11" s="26" customFormat="1" ht="13.8">
      <c r="A33" s="23"/>
      <c r="B33" s="199" t="s">
        <v>15</v>
      </c>
      <c r="C33" s="203" t="s">
        <v>88</v>
      </c>
      <c r="D33" s="200">
        <f>D32</f>
        <v>0.53689999999999993</v>
      </c>
      <c r="E33" s="201"/>
      <c r="F33" s="88">
        <f t="shared" si="0"/>
        <v>0</v>
      </c>
      <c r="G33" s="89"/>
      <c r="H33" s="88">
        <f t="shared" si="1"/>
        <v>0</v>
      </c>
      <c r="I33" s="89"/>
      <c r="J33" s="88">
        <f t="shared" si="2"/>
        <v>0</v>
      </c>
      <c r="K33" s="88">
        <f t="shared" si="3"/>
        <v>0</v>
      </c>
    </row>
    <row r="34" spans="1:11" s="26" customFormat="1" ht="13.8">
      <c r="A34" s="23"/>
      <c r="B34" s="199" t="s">
        <v>8</v>
      </c>
      <c r="C34" s="203" t="s">
        <v>88</v>
      </c>
      <c r="D34" s="200">
        <f>D32*100</f>
        <v>53.689999999999991</v>
      </c>
      <c r="E34" s="201"/>
      <c r="F34" s="88">
        <f t="shared" si="0"/>
        <v>0</v>
      </c>
      <c r="G34" s="89"/>
      <c r="H34" s="88">
        <f t="shared" si="1"/>
        <v>0</v>
      </c>
      <c r="I34" s="89"/>
      <c r="J34" s="88">
        <f t="shared" si="2"/>
        <v>0</v>
      </c>
      <c r="K34" s="88">
        <f t="shared" si="3"/>
        <v>0</v>
      </c>
    </row>
    <row r="35" spans="1:11" s="26" customFormat="1" ht="13.8">
      <c r="A35" s="23"/>
      <c r="B35" s="199" t="s">
        <v>16</v>
      </c>
      <c r="C35" s="22"/>
      <c r="D35" s="200"/>
      <c r="E35" s="201"/>
      <c r="F35" s="88"/>
      <c r="G35" s="89"/>
      <c r="H35" s="88"/>
      <c r="I35" s="89"/>
      <c r="J35" s="88"/>
      <c r="K35" s="88"/>
    </row>
    <row r="36" spans="1:11" s="26" customFormat="1" ht="13.8">
      <c r="A36" s="23"/>
      <c r="B36" s="199" t="s">
        <v>99</v>
      </c>
      <c r="C36" s="22" t="s">
        <v>88</v>
      </c>
      <c r="D36" s="200">
        <f>D32</f>
        <v>0.53689999999999993</v>
      </c>
      <c r="E36" s="201"/>
      <c r="F36" s="88">
        <f t="shared" si="0"/>
        <v>0</v>
      </c>
      <c r="G36" s="89"/>
      <c r="H36" s="88">
        <f t="shared" si="1"/>
        <v>0</v>
      </c>
      <c r="I36" s="89"/>
      <c r="J36" s="88">
        <f t="shared" si="2"/>
        <v>0</v>
      </c>
      <c r="K36" s="88">
        <f t="shared" si="3"/>
        <v>0</v>
      </c>
    </row>
    <row r="37" spans="1:11" s="26" customFormat="1" ht="27.6">
      <c r="A37" s="20">
        <f>A32+1</f>
        <v>8</v>
      </c>
      <c r="B37" s="21" t="s">
        <v>160</v>
      </c>
      <c r="C37" s="204" t="s">
        <v>29</v>
      </c>
      <c r="D37" s="198">
        <v>767</v>
      </c>
      <c r="E37" s="60"/>
      <c r="F37" s="88"/>
      <c r="G37" s="88"/>
      <c r="H37" s="88"/>
      <c r="I37" s="88"/>
      <c r="J37" s="88"/>
      <c r="K37" s="88"/>
    </row>
    <row r="38" spans="1:11" s="26" customFormat="1" ht="13.8">
      <c r="A38" s="23"/>
      <c r="B38" s="199" t="s">
        <v>15</v>
      </c>
      <c r="C38" s="22" t="s">
        <v>29</v>
      </c>
      <c r="D38" s="200">
        <f>D37</f>
        <v>767</v>
      </c>
      <c r="E38" s="201"/>
      <c r="F38" s="88">
        <f t="shared" si="0"/>
        <v>0</v>
      </c>
      <c r="G38" s="89"/>
      <c r="H38" s="88">
        <f t="shared" si="1"/>
        <v>0</v>
      </c>
      <c r="I38" s="89"/>
      <c r="J38" s="88">
        <f t="shared" si="2"/>
        <v>0</v>
      </c>
      <c r="K38" s="88">
        <f t="shared" si="3"/>
        <v>0</v>
      </c>
    </row>
    <row r="39" spans="1:11" s="26" customFormat="1" ht="13.8">
      <c r="A39" s="23"/>
      <c r="B39" s="199" t="s">
        <v>8</v>
      </c>
      <c r="C39" s="22" t="s">
        <v>20</v>
      </c>
      <c r="D39" s="200">
        <f>D37</f>
        <v>767</v>
      </c>
      <c r="E39" s="201"/>
      <c r="F39" s="88">
        <f t="shared" si="0"/>
        <v>0</v>
      </c>
      <c r="G39" s="89"/>
      <c r="H39" s="88">
        <f t="shared" si="1"/>
        <v>0</v>
      </c>
      <c r="I39" s="89"/>
      <c r="J39" s="88">
        <f t="shared" si="2"/>
        <v>0</v>
      </c>
      <c r="K39" s="88">
        <f t="shared" si="3"/>
        <v>0</v>
      </c>
    </row>
    <row r="40" spans="1:11" s="26" customFormat="1" ht="13.8">
      <c r="A40" s="23"/>
      <c r="B40" s="199" t="s">
        <v>16</v>
      </c>
      <c r="C40" s="22"/>
      <c r="D40" s="200"/>
      <c r="E40" s="201"/>
      <c r="F40" s="88"/>
      <c r="G40" s="89"/>
      <c r="H40" s="88"/>
      <c r="I40" s="89"/>
      <c r="J40" s="88"/>
      <c r="K40" s="88"/>
    </row>
    <row r="41" spans="1:11" s="26" customFormat="1" ht="13.8">
      <c r="A41" s="23"/>
      <c r="B41" s="199" t="s">
        <v>78</v>
      </c>
      <c r="C41" s="22" t="s">
        <v>88</v>
      </c>
      <c r="D41" s="200">
        <f>D37*0.0233*6*1.1</f>
        <v>117.94926000000002</v>
      </c>
      <c r="E41" s="201"/>
      <c r="F41" s="88">
        <f t="shared" si="0"/>
        <v>0</v>
      </c>
      <c r="G41" s="89"/>
      <c r="H41" s="88">
        <f t="shared" si="1"/>
        <v>0</v>
      </c>
      <c r="I41" s="89"/>
      <c r="J41" s="88">
        <f t="shared" si="2"/>
        <v>0</v>
      </c>
      <c r="K41" s="88">
        <f t="shared" si="3"/>
        <v>0</v>
      </c>
    </row>
    <row r="42" spans="1:11" s="26" customFormat="1" ht="13.8">
      <c r="A42" s="205"/>
      <c r="B42" s="206" t="s">
        <v>21</v>
      </c>
      <c r="C42" s="205" t="s">
        <v>20</v>
      </c>
      <c r="D42" s="207">
        <f>D37*0.16</f>
        <v>122.72</v>
      </c>
      <c r="E42" s="208"/>
      <c r="F42" s="88">
        <f t="shared" si="0"/>
        <v>0</v>
      </c>
      <c r="G42" s="91"/>
      <c r="H42" s="88">
        <f t="shared" si="1"/>
        <v>0</v>
      </c>
      <c r="I42" s="91"/>
      <c r="J42" s="88">
        <f t="shared" si="2"/>
        <v>0</v>
      </c>
      <c r="K42" s="88">
        <f t="shared" si="3"/>
        <v>0</v>
      </c>
    </row>
    <row r="43" spans="1:11" s="26" customFormat="1" ht="13.8">
      <c r="A43" s="20">
        <f>A37+1</f>
        <v>9</v>
      </c>
      <c r="B43" s="21" t="s">
        <v>162</v>
      </c>
      <c r="C43" s="20" t="s">
        <v>88</v>
      </c>
      <c r="D43" s="198">
        <f>D48*0.35/1000</f>
        <v>0.26844999999999997</v>
      </c>
      <c r="E43" s="60"/>
      <c r="F43" s="88"/>
      <c r="G43" s="88"/>
      <c r="H43" s="88"/>
      <c r="I43" s="88"/>
      <c r="J43" s="88"/>
      <c r="K43" s="88"/>
    </row>
    <row r="44" spans="1:11" s="26" customFormat="1" ht="13.8">
      <c r="A44" s="23"/>
      <c r="B44" s="199" t="s">
        <v>15</v>
      </c>
      <c r="C44" s="22" t="s">
        <v>29</v>
      </c>
      <c r="D44" s="200">
        <f>D43</f>
        <v>0.26844999999999997</v>
      </c>
      <c r="E44" s="201"/>
      <c r="F44" s="88">
        <f t="shared" si="0"/>
        <v>0</v>
      </c>
      <c r="G44" s="89"/>
      <c r="H44" s="88">
        <f t="shared" si="1"/>
        <v>0</v>
      </c>
      <c r="I44" s="89"/>
      <c r="J44" s="88">
        <f t="shared" si="2"/>
        <v>0</v>
      </c>
      <c r="K44" s="88">
        <f t="shared" si="3"/>
        <v>0</v>
      </c>
    </row>
    <row r="45" spans="1:11" s="26" customFormat="1" ht="13.8">
      <c r="A45" s="23"/>
      <c r="B45" s="199" t="s">
        <v>8</v>
      </c>
      <c r="C45" s="22" t="str">
        <f>C44</f>
        <v>მ²</v>
      </c>
      <c r="D45" s="200">
        <f>D43*100</f>
        <v>26.844999999999995</v>
      </c>
      <c r="E45" s="201"/>
      <c r="F45" s="88">
        <f t="shared" si="0"/>
        <v>0</v>
      </c>
      <c r="G45" s="89"/>
      <c r="H45" s="88">
        <f t="shared" si="1"/>
        <v>0</v>
      </c>
      <c r="I45" s="89"/>
      <c r="J45" s="88">
        <f t="shared" si="2"/>
        <v>0</v>
      </c>
      <c r="K45" s="88">
        <f t="shared" si="3"/>
        <v>0</v>
      </c>
    </row>
    <row r="46" spans="1:11" s="26" customFormat="1" ht="13.8">
      <c r="A46" s="23"/>
      <c r="B46" s="199" t="s">
        <v>16</v>
      </c>
      <c r="C46" s="22"/>
      <c r="D46" s="200"/>
      <c r="E46" s="201"/>
      <c r="F46" s="88"/>
      <c r="G46" s="89"/>
      <c r="H46" s="88"/>
      <c r="I46" s="89"/>
      <c r="J46" s="88"/>
      <c r="K46" s="88"/>
    </row>
    <row r="47" spans="1:11" s="26" customFormat="1" ht="13.8">
      <c r="A47" s="23"/>
      <c r="B47" s="199" t="s">
        <v>99</v>
      </c>
      <c r="C47" s="22" t="s">
        <v>88</v>
      </c>
      <c r="D47" s="200">
        <f>D43</f>
        <v>0.26844999999999997</v>
      </c>
      <c r="E47" s="201"/>
      <c r="F47" s="88">
        <f t="shared" si="0"/>
        <v>0</v>
      </c>
      <c r="G47" s="89"/>
      <c r="H47" s="88">
        <f t="shared" si="1"/>
        <v>0</v>
      </c>
      <c r="I47" s="89"/>
      <c r="J47" s="88">
        <f t="shared" si="2"/>
        <v>0</v>
      </c>
      <c r="K47" s="88">
        <f t="shared" si="3"/>
        <v>0</v>
      </c>
    </row>
    <row r="48" spans="1:11" s="26" customFormat="1" ht="27.6">
      <c r="A48" s="20">
        <f>A43+1</f>
        <v>10</v>
      </c>
      <c r="B48" s="21" t="s">
        <v>163</v>
      </c>
      <c r="C48" s="204" t="s">
        <v>29</v>
      </c>
      <c r="D48" s="198">
        <f>D37</f>
        <v>767</v>
      </c>
      <c r="E48" s="60"/>
      <c r="F48" s="88"/>
      <c r="G48" s="88"/>
      <c r="H48" s="88"/>
      <c r="I48" s="88"/>
      <c r="J48" s="88"/>
      <c r="K48" s="88"/>
    </row>
    <row r="49" spans="1:11" s="26" customFormat="1" ht="13.8">
      <c r="A49" s="23"/>
      <c r="B49" s="199" t="s">
        <v>15</v>
      </c>
      <c r="C49" s="22" t="s">
        <v>29</v>
      </c>
      <c r="D49" s="200">
        <f>D48</f>
        <v>767</v>
      </c>
      <c r="E49" s="201"/>
      <c r="F49" s="88">
        <f t="shared" si="0"/>
        <v>0</v>
      </c>
      <c r="G49" s="89"/>
      <c r="H49" s="88">
        <f t="shared" si="1"/>
        <v>0</v>
      </c>
      <c r="I49" s="89"/>
      <c r="J49" s="88">
        <f t="shared" si="2"/>
        <v>0</v>
      </c>
      <c r="K49" s="88">
        <f t="shared" si="3"/>
        <v>0</v>
      </c>
    </row>
    <row r="50" spans="1:11" s="26" customFormat="1" ht="13.8">
      <c r="A50" s="23"/>
      <c r="B50" s="199" t="s">
        <v>8</v>
      </c>
      <c r="C50" s="22" t="s">
        <v>20</v>
      </c>
      <c r="D50" s="200">
        <f>D48</f>
        <v>767</v>
      </c>
      <c r="E50" s="201"/>
      <c r="F50" s="88">
        <f t="shared" si="0"/>
        <v>0</v>
      </c>
      <c r="G50" s="89"/>
      <c r="H50" s="88">
        <f t="shared" si="1"/>
        <v>0</v>
      </c>
      <c r="I50" s="89"/>
      <c r="J50" s="88">
        <f t="shared" si="2"/>
        <v>0</v>
      </c>
      <c r="K50" s="88">
        <f t="shared" si="3"/>
        <v>0</v>
      </c>
    </row>
    <row r="51" spans="1:11" s="26" customFormat="1" ht="13.8">
      <c r="A51" s="23"/>
      <c r="B51" s="199" t="s">
        <v>16</v>
      </c>
      <c r="C51" s="22"/>
      <c r="D51" s="200"/>
      <c r="E51" s="201"/>
      <c r="F51" s="88"/>
      <c r="G51" s="89"/>
      <c r="H51" s="88"/>
      <c r="I51" s="89"/>
      <c r="J51" s="88"/>
      <c r="K51" s="88"/>
    </row>
    <row r="52" spans="1:11" s="26" customFormat="1" ht="13.8">
      <c r="A52" s="23"/>
      <c r="B52" s="199" t="s">
        <v>78</v>
      </c>
      <c r="C52" s="22" t="s">
        <v>88</v>
      </c>
      <c r="D52" s="200">
        <f>D48*0.0245*4*1.1</f>
        <v>82.682600000000008</v>
      </c>
      <c r="E52" s="201"/>
      <c r="F52" s="88">
        <f t="shared" si="0"/>
        <v>0</v>
      </c>
      <c r="G52" s="89"/>
      <c r="H52" s="88">
        <f t="shared" si="1"/>
        <v>0</v>
      </c>
      <c r="I52" s="89"/>
      <c r="J52" s="88">
        <f t="shared" si="2"/>
        <v>0</v>
      </c>
      <c r="K52" s="88">
        <f t="shared" si="3"/>
        <v>0</v>
      </c>
    </row>
    <row r="53" spans="1:11" s="26" customFormat="1" ht="13.8">
      <c r="A53" s="205"/>
      <c r="B53" s="206" t="s">
        <v>21</v>
      </c>
      <c r="C53" s="205" t="s">
        <v>20</v>
      </c>
      <c r="D53" s="207">
        <f>D48*0.16</f>
        <v>122.72</v>
      </c>
      <c r="E53" s="208"/>
      <c r="F53" s="88">
        <f t="shared" si="0"/>
        <v>0</v>
      </c>
      <c r="G53" s="91"/>
      <c r="H53" s="88">
        <f t="shared" si="1"/>
        <v>0</v>
      </c>
      <c r="I53" s="91"/>
      <c r="J53" s="88">
        <f t="shared" si="2"/>
        <v>0</v>
      </c>
      <c r="K53" s="88">
        <f t="shared" si="3"/>
        <v>0</v>
      </c>
    </row>
    <row r="54" spans="1:11" s="26" customFormat="1" ht="27.6">
      <c r="A54" s="20">
        <v>11</v>
      </c>
      <c r="B54" s="21" t="s">
        <v>100</v>
      </c>
      <c r="C54" s="20" t="s">
        <v>72</v>
      </c>
      <c r="D54" s="198">
        <v>174.73</v>
      </c>
      <c r="E54" s="60"/>
      <c r="F54" s="88"/>
      <c r="G54" s="88"/>
      <c r="H54" s="88"/>
      <c r="I54" s="88"/>
      <c r="J54" s="88"/>
      <c r="K54" s="88"/>
    </row>
    <row r="55" spans="1:11" s="26" customFormat="1" ht="13.8">
      <c r="A55" s="23"/>
      <c r="B55" s="199" t="s">
        <v>15</v>
      </c>
      <c r="C55" s="22" t="str">
        <f>C54</f>
        <v>გრძ/მ</v>
      </c>
      <c r="D55" s="200">
        <f>D54</f>
        <v>174.73</v>
      </c>
      <c r="E55" s="201"/>
      <c r="F55" s="88">
        <f t="shared" si="0"/>
        <v>0</v>
      </c>
      <c r="G55" s="89"/>
      <c r="H55" s="88">
        <f t="shared" si="1"/>
        <v>0</v>
      </c>
      <c r="I55" s="89"/>
      <c r="J55" s="88">
        <f t="shared" si="2"/>
        <v>0</v>
      </c>
      <c r="K55" s="88">
        <f t="shared" si="3"/>
        <v>0</v>
      </c>
    </row>
    <row r="56" spans="1:11" s="26" customFormat="1" ht="13.8">
      <c r="A56" s="23"/>
      <c r="B56" s="199" t="s">
        <v>19</v>
      </c>
      <c r="C56" s="209" t="s">
        <v>20</v>
      </c>
      <c r="D56" s="200">
        <f>D54</f>
        <v>174.73</v>
      </c>
      <c r="E56" s="201"/>
      <c r="F56" s="88">
        <f t="shared" si="0"/>
        <v>0</v>
      </c>
      <c r="G56" s="89"/>
      <c r="H56" s="88">
        <f t="shared" si="1"/>
        <v>0</v>
      </c>
      <c r="I56" s="89"/>
      <c r="J56" s="88">
        <f t="shared" si="2"/>
        <v>0</v>
      </c>
      <c r="K56" s="88">
        <f t="shared" si="3"/>
        <v>0</v>
      </c>
    </row>
    <row r="57" spans="1:11" s="26" customFormat="1" ht="13.8">
      <c r="A57" s="23"/>
      <c r="B57" s="199" t="s">
        <v>16</v>
      </c>
      <c r="C57" s="209"/>
      <c r="D57" s="200"/>
      <c r="E57" s="201"/>
      <c r="F57" s="88"/>
      <c r="G57" s="89"/>
      <c r="H57" s="88"/>
      <c r="I57" s="89"/>
      <c r="J57" s="88"/>
      <c r="K57" s="88"/>
    </row>
    <row r="58" spans="1:11" s="26" customFormat="1" ht="13.8">
      <c r="A58" s="23"/>
      <c r="B58" s="199" t="s">
        <v>101</v>
      </c>
      <c r="C58" s="22" t="s">
        <v>11</v>
      </c>
      <c r="D58" s="200">
        <f>D54*0.05</f>
        <v>8.7364999999999995</v>
      </c>
      <c r="E58" s="201"/>
      <c r="F58" s="88">
        <f t="shared" si="0"/>
        <v>0</v>
      </c>
      <c r="G58" s="89"/>
      <c r="H58" s="88">
        <f t="shared" si="1"/>
        <v>0</v>
      </c>
      <c r="I58" s="89"/>
      <c r="J58" s="88">
        <f t="shared" si="2"/>
        <v>0</v>
      </c>
      <c r="K58" s="88">
        <f t="shared" si="3"/>
        <v>0</v>
      </c>
    </row>
    <row r="59" spans="1:11" s="26" customFormat="1" ht="13.8">
      <c r="A59" s="23"/>
      <c r="B59" s="199" t="s">
        <v>102</v>
      </c>
      <c r="C59" s="22" t="s">
        <v>72</v>
      </c>
      <c r="D59" s="200">
        <f>D54*1.02</f>
        <v>178.22459999999998</v>
      </c>
      <c r="E59" s="201"/>
      <c r="F59" s="88">
        <f t="shared" si="0"/>
        <v>0</v>
      </c>
      <c r="G59" s="89"/>
      <c r="H59" s="88">
        <f t="shared" si="1"/>
        <v>0</v>
      </c>
      <c r="I59" s="89"/>
      <c r="J59" s="88">
        <f t="shared" si="2"/>
        <v>0</v>
      </c>
      <c r="K59" s="88">
        <f t="shared" si="3"/>
        <v>0</v>
      </c>
    </row>
    <row r="60" spans="1:11" s="19" customFormat="1" ht="13.8">
      <c r="A60" s="23"/>
      <c r="B60" s="199" t="s">
        <v>21</v>
      </c>
      <c r="C60" s="209" t="s">
        <v>20</v>
      </c>
      <c r="D60" s="200">
        <f>D54</f>
        <v>174.73</v>
      </c>
      <c r="E60" s="201"/>
      <c r="F60" s="88">
        <f t="shared" si="0"/>
        <v>0</v>
      </c>
      <c r="G60" s="89"/>
      <c r="H60" s="88">
        <f t="shared" si="1"/>
        <v>0</v>
      </c>
      <c r="I60" s="89"/>
      <c r="J60" s="88">
        <f t="shared" si="2"/>
        <v>0</v>
      </c>
      <c r="K60" s="88">
        <f t="shared" si="3"/>
        <v>0</v>
      </c>
    </row>
    <row r="61" spans="1:11" s="19" customFormat="1" ht="46.8">
      <c r="A61" s="20"/>
      <c r="B61" s="65" t="s">
        <v>103</v>
      </c>
      <c r="C61" s="20"/>
      <c r="D61" s="198"/>
      <c r="E61" s="60"/>
      <c r="F61" s="88"/>
      <c r="G61" s="88"/>
      <c r="H61" s="88"/>
      <c r="I61" s="88"/>
      <c r="J61" s="88"/>
      <c r="K61" s="88"/>
    </row>
    <row r="62" spans="1:11" s="19" customFormat="1" ht="27.6">
      <c r="A62" s="20">
        <v>1</v>
      </c>
      <c r="B62" s="21" t="s">
        <v>104</v>
      </c>
      <c r="C62" s="20" t="s">
        <v>11</v>
      </c>
      <c r="D62" s="235">
        <f>(41.35+37.87+81.233)*0.6</f>
        <v>96.271799999999999</v>
      </c>
      <c r="E62" s="60"/>
      <c r="F62" s="88"/>
      <c r="G62" s="88"/>
      <c r="H62" s="88"/>
      <c r="I62" s="88"/>
      <c r="J62" s="88"/>
      <c r="K62" s="88"/>
    </row>
    <row r="63" spans="1:11" s="19" customFormat="1" ht="13.8">
      <c r="A63" s="23"/>
      <c r="B63" s="199" t="s">
        <v>15</v>
      </c>
      <c r="C63" s="22" t="s">
        <v>11</v>
      </c>
      <c r="D63" s="249">
        <f>D62</f>
        <v>96.271799999999999</v>
      </c>
      <c r="E63" s="201"/>
      <c r="F63" s="88">
        <f t="shared" si="0"/>
        <v>0</v>
      </c>
      <c r="G63" s="89"/>
      <c r="H63" s="88">
        <f t="shared" si="1"/>
        <v>0</v>
      </c>
      <c r="I63" s="89"/>
      <c r="J63" s="88">
        <f t="shared" si="2"/>
        <v>0</v>
      </c>
      <c r="K63" s="88">
        <f t="shared" si="3"/>
        <v>0</v>
      </c>
    </row>
    <row r="64" spans="1:11" s="19" customFormat="1" ht="13.8">
      <c r="A64" s="23"/>
      <c r="B64" s="199" t="s">
        <v>8</v>
      </c>
      <c r="C64" s="22" t="s">
        <v>11</v>
      </c>
      <c r="D64" s="249">
        <f>D62</f>
        <v>96.271799999999999</v>
      </c>
      <c r="E64" s="201"/>
      <c r="F64" s="88">
        <f t="shared" si="0"/>
        <v>0</v>
      </c>
      <c r="G64" s="89"/>
      <c r="H64" s="88">
        <f t="shared" si="1"/>
        <v>0</v>
      </c>
      <c r="I64" s="89"/>
      <c r="J64" s="88">
        <f t="shared" si="2"/>
        <v>0</v>
      </c>
      <c r="K64" s="88">
        <f t="shared" si="3"/>
        <v>0</v>
      </c>
    </row>
    <row r="65" spans="1:11" s="19" customFormat="1" ht="13.8">
      <c r="A65" s="23"/>
      <c r="B65" s="199" t="s">
        <v>16</v>
      </c>
      <c r="C65" s="22"/>
      <c r="D65" s="249"/>
      <c r="E65" s="201"/>
      <c r="F65" s="88"/>
      <c r="G65" s="89"/>
      <c r="H65" s="88"/>
      <c r="I65" s="89"/>
      <c r="J65" s="88"/>
      <c r="K65" s="88"/>
    </row>
    <row r="66" spans="1:11" s="19" customFormat="1" ht="13.8">
      <c r="A66" s="23"/>
      <c r="B66" s="199" t="s">
        <v>98</v>
      </c>
      <c r="C66" s="22" t="s">
        <v>11</v>
      </c>
      <c r="D66" s="249">
        <f>D62*1.22</f>
        <v>117.451596</v>
      </c>
      <c r="E66" s="201"/>
      <c r="F66" s="88">
        <f t="shared" ref="F66:F83" si="4">E66*D66</f>
        <v>0</v>
      </c>
      <c r="G66" s="89"/>
      <c r="H66" s="88">
        <f t="shared" ref="H66:H83" si="5">G66*D66</f>
        <v>0</v>
      </c>
      <c r="I66" s="89"/>
      <c r="J66" s="88">
        <f t="shared" ref="J66:J83" si="6">I66*D66</f>
        <v>0</v>
      </c>
      <c r="K66" s="88">
        <f t="shared" ref="K66:K83" si="7">J66+H66+F66</f>
        <v>0</v>
      </c>
    </row>
    <row r="67" spans="1:11" s="19" customFormat="1" ht="27.6">
      <c r="A67" s="20">
        <f>A62+1</f>
        <v>2</v>
      </c>
      <c r="B67" s="21" t="s">
        <v>107</v>
      </c>
      <c r="C67" s="20" t="s">
        <v>11</v>
      </c>
      <c r="D67" s="235">
        <f>(41.35+37.87+81.23)*0.12</f>
        <v>19.253999999999998</v>
      </c>
      <c r="E67" s="60"/>
      <c r="F67" s="88"/>
      <c r="G67" s="88"/>
      <c r="H67" s="88"/>
      <c r="I67" s="88"/>
      <c r="J67" s="88"/>
      <c r="K67" s="88"/>
    </row>
    <row r="68" spans="1:11" s="19" customFormat="1" ht="13.8">
      <c r="A68" s="23"/>
      <c r="B68" s="199" t="s">
        <v>15</v>
      </c>
      <c r="C68" s="22" t="s">
        <v>11</v>
      </c>
      <c r="D68" s="249">
        <f>D67</f>
        <v>19.253999999999998</v>
      </c>
      <c r="E68" s="201"/>
      <c r="F68" s="88">
        <f t="shared" si="4"/>
        <v>0</v>
      </c>
      <c r="G68" s="89"/>
      <c r="H68" s="88">
        <f t="shared" si="5"/>
        <v>0</v>
      </c>
      <c r="I68" s="89"/>
      <c r="J68" s="88">
        <f t="shared" si="6"/>
        <v>0</v>
      </c>
      <c r="K68" s="88">
        <f t="shared" si="7"/>
        <v>0</v>
      </c>
    </row>
    <row r="69" spans="1:11" s="19" customFormat="1" ht="13.8">
      <c r="A69" s="23"/>
      <c r="B69" s="199" t="s">
        <v>8</v>
      </c>
      <c r="C69" s="22" t="s">
        <v>11</v>
      </c>
      <c r="D69" s="249">
        <f>D67</f>
        <v>19.253999999999998</v>
      </c>
      <c r="E69" s="201"/>
      <c r="F69" s="88">
        <f t="shared" si="4"/>
        <v>0</v>
      </c>
      <c r="G69" s="89"/>
      <c r="H69" s="88">
        <f t="shared" si="5"/>
        <v>0</v>
      </c>
      <c r="I69" s="89"/>
      <c r="J69" s="88">
        <f t="shared" si="6"/>
        <v>0</v>
      </c>
      <c r="K69" s="88">
        <f t="shared" si="7"/>
        <v>0</v>
      </c>
    </row>
    <row r="70" spans="1:11" s="19" customFormat="1" ht="13.8">
      <c r="A70" s="23"/>
      <c r="B70" s="199" t="s">
        <v>16</v>
      </c>
      <c r="C70" s="22"/>
      <c r="D70" s="249"/>
      <c r="E70" s="201"/>
      <c r="F70" s="88"/>
      <c r="G70" s="89"/>
      <c r="H70" s="88"/>
      <c r="I70" s="89"/>
      <c r="J70" s="88"/>
      <c r="K70" s="88"/>
    </row>
    <row r="71" spans="1:11" s="19" customFormat="1" ht="13.8">
      <c r="A71" s="23"/>
      <c r="B71" s="199" t="s">
        <v>17</v>
      </c>
      <c r="C71" s="22" t="s">
        <v>11</v>
      </c>
      <c r="D71" s="249">
        <f>D67*1.22</f>
        <v>23.489879999999996</v>
      </c>
      <c r="E71" s="201"/>
      <c r="F71" s="88">
        <f t="shared" si="4"/>
        <v>0</v>
      </c>
      <c r="G71" s="89"/>
      <c r="H71" s="88">
        <f t="shared" si="5"/>
        <v>0</v>
      </c>
      <c r="I71" s="89"/>
      <c r="J71" s="88">
        <f t="shared" si="6"/>
        <v>0</v>
      </c>
      <c r="K71" s="88">
        <f t="shared" si="7"/>
        <v>0</v>
      </c>
    </row>
    <row r="72" spans="1:11" s="19" customFormat="1" ht="13.8">
      <c r="A72" s="20">
        <f>A67+1</f>
        <v>3</v>
      </c>
      <c r="B72" s="21" t="s">
        <v>105</v>
      </c>
      <c r="C72" s="20" t="s">
        <v>11</v>
      </c>
      <c r="D72" s="235">
        <f>(41.35+37.87+81.23)*0.1</f>
        <v>16.044999999999998</v>
      </c>
      <c r="E72" s="60"/>
      <c r="F72" s="88"/>
      <c r="G72" s="88"/>
      <c r="H72" s="88"/>
      <c r="I72" s="88"/>
      <c r="J72" s="88"/>
      <c r="K72" s="88"/>
    </row>
    <row r="73" spans="1:11" s="19" customFormat="1" ht="13.8">
      <c r="A73" s="23"/>
      <c r="B73" s="199" t="s">
        <v>15</v>
      </c>
      <c r="C73" s="22" t="s">
        <v>11</v>
      </c>
      <c r="D73" s="249">
        <f>D72</f>
        <v>16.044999999999998</v>
      </c>
      <c r="E73" s="201"/>
      <c r="F73" s="88">
        <f t="shared" si="4"/>
        <v>0</v>
      </c>
      <c r="G73" s="89"/>
      <c r="H73" s="88">
        <f t="shared" si="5"/>
        <v>0</v>
      </c>
      <c r="I73" s="89"/>
      <c r="J73" s="88">
        <f t="shared" si="6"/>
        <v>0</v>
      </c>
      <c r="K73" s="88">
        <f t="shared" si="7"/>
        <v>0</v>
      </c>
    </row>
    <row r="74" spans="1:11" s="24" customFormat="1" ht="13.8">
      <c r="A74" s="23"/>
      <c r="B74" s="199" t="s">
        <v>8</v>
      </c>
      <c r="C74" s="22" t="s">
        <v>11</v>
      </c>
      <c r="D74" s="249">
        <f>D72</f>
        <v>16.044999999999998</v>
      </c>
      <c r="E74" s="201"/>
      <c r="F74" s="88">
        <f t="shared" si="4"/>
        <v>0</v>
      </c>
      <c r="G74" s="89"/>
      <c r="H74" s="88">
        <f t="shared" si="5"/>
        <v>0</v>
      </c>
      <c r="I74" s="89"/>
      <c r="J74" s="88">
        <f t="shared" si="6"/>
        <v>0</v>
      </c>
      <c r="K74" s="88">
        <f t="shared" si="7"/>
        <v>0</v>
      </c>
    </row>
    <row r="75" spans="1:11" s="24" customFormat="1" ht="13.8">
      <c r="A75" s="23"/>
      <c r="B75" s="199" t="s">
        <v>16</v>
      </c>
      <c r="C75" s="22"/>
      <c r="D75" s="249"/>
      <c r="E75" s="201"/>
      <c r="F75" s="88"/>
      <c r="G75" s="89"/>
      <c r="H75" s="88"/>
      <c r="I75" s="89"/>
      <c r="J75" s="88"/>
      <c r="K75" s="88"/>
    </row>
    <row r="76" spans="1:11" s="24" customFormat="1" ht="13.8">
      <c r="A76" s="23"/>
      <c r="B76" s="199" t="s">
        <v>106</v>
      </c>
      <c r="C76" s="22" t="s">
        <v>11</v>
      </c>
      <c r="D76" s="249">
        <f>D72*1.22</f>
        <v>19.574899999999996</v>
      </c>
      <c r="E76" s="201"/>
      <c r="F76" s="88">
        <f t="shared" si="4"/>
        <v>0</v>
      </c>
      <c r="G76" s="89"/>
      <c r="H76" s="88">
        <f t="shared" si="5"/>
        <v>0</v>
      </c>
      <c r="I76" s="89"/>
      <c r="J76" s="88">
        <f t="shared" si="6"/>
        <v>0</v>
      </c>
      <c r="K76" s="88">
        <f t="shared" si="7"/>
        <v>0</v>
      </c>
    </row>
    <row r="77" spans="1:11" s="24" customFormat="1" ht="13.8">
      <c r="A77" s="20">
        <f>A72+1</f>
        <v>4</v>
      </c>
      <c r="B77" s="21" t="s">
        <v>164</v>
      </c>
      <c r="C77" s="20" t="s">
        <v>29</v>
      </c>
      <c r="D77" s="235">
        <f>41.35+37.87+81.23</f>
        <v>160.44999999999999</v>
      </c>
      <c r="E77" s="60"/>
      <c r="F77" s="88"/>
      <c r="G77" s="88"/>
      <c r="H77" s="88"/>
      <c r="I77" s="88"/>
      <c r="J77" s="88"/>
      <c r="K77" s="88"/>
    </row>
    <row r="78" spans="1:11" s="24" customFormat="1" ht="13.8">
      <c r="A78" s="23"/>
      <c r="B78" s="199" t="s">
        <v>48</v>
      </c>
      <c r="C78" s="22" t="str">
        <f>C77</f>
        <v>მ²</v>
      </c>
      <c r="D78" s="200">
        <f>D77</f>
        <v>160.44999999999999</v>
      </c>
      <c r="E78" s="201"/>
      <c r="F78" s="88">
        <f t="shared" si="4"/>
        <v>0</v>
      </c>
      <c r="G78" s="89"/>
      <c r="H78" s="88">
        <f t="shared" si="5"/>
        <v>0</v>
      </c>
      <c r="I78" s="89"/>
      <c r="J78" s="88">
        <f t="shared" si="6"/>
        <v>0</v>
      </c>
      <c r="K78" s="88">
        <f t="shared" si="7"/>
        <v>0</v>
      </c>
    </row>
    <row r="79" spans="1:11" s="24" customFormat="1" ht="13.8">
      <c r="A79" s="23"/>
      <c r="B79" s="199" t="s">
        <v>19</v>
      </c>
      <c r="C79" s="22" t="s">
        <v>20</v>
      </c>
      <c r="D79" s="200">
        <f>D77*0.104</f>
        <v>16.686799999999998</v>
      </c>
      <c r="E79" s="201"/>
      <c r="F79" s="88">
        <f t="shared" si="4"/>
        <v>0</v>
      </c>
      <c r="G79" s="89"/>
      <c r="H79" s="88">
        <f t="shared" si="5"/>
        <v>0</v>
      </c>
      <c r="I79" s="89"/>
      <c r="J79" s="88">
        <f t="shared" si="6"/>
        <v>0</v>
      </c>
      <c r="K79" s="88">
        <f t="shared" si="7"/>
        <v>0</v>
      </c>
    </row>
    <row r="80" spans="1:11" s="24" customFormat="1" ht="13.8">
      <c r="A80" s="23"/>
      <c r="B80" s="199" t="s">
        <v>49</v>
      </c>
      <c r="C80" s="22"/>
      <c r="D80" s="200"/>
      <c r="E80" s="201"/>
      <c r="F80" s="88"/>
      <c r="G80" s="89"/>
      <c r="H80" s="88"/>
      <c r="I80" s="89"/>
      <c r="J80" s="88"/>
      <c r="K80" s="88"/>
    </row>
    <row r="81" spans="1:11" s="24" customFormat="1" ht="13.8">
      <c r="A81" s="23"/>
      <c r="B81" s="199" t="s">
        <v>165</v>
      </c>
      <c r="C81" s="22" t="s">
        <v>166</v>
      </c>
      <c r="D81" s="200">
        <f>D77*0.05</f>
        <v>8.0224999999999991</v>
      </c>
      <c r="E81" s="201"/>
      <c r="F81" s="88">
        <f>E81*D81</f>
        <v>0</v>
      </c>
      <c r="G81" s="89"/>
      <c r="H81" s="88">
        <f t="shared" ref="H81" si="8">G81*D81</f>
        <v>0</v>
      </c>
      <c r="I81" s="89"/>
      <c r="J81" s="88">
        <f t="shared" ref="J81" si="9">I81*D81</f>
        <v>0</v>
      </c>
      <c r="K81" s="88">
        <f t="shared" ref="K81" si="10">J81+H81+F81</f>
        <v>0</v>
      </c>
    </row>
    <row r="82" spans="1:11" s="24" customFormat="1" ht="13.8">
      <c r="A82" s="23"/>
      <c r="B82" s="199" t="s">
        <v>175</v>
      </c>
      <c r="C82" s="22" t="str">
        <f>C78</f>
        <v>მ²</v>
      </c>
      <c r="D82" s="200">
        <f>D78</f>
        <v>160.44999999999999</v>
      </c>
      <c r="E82" s="201"/>
      <c r="F82" s="88">
        <f t="shared" si="4"/>
        <v>0</v>
      </c>
      <c r="G82" s="89"/>
      <c r="H82" s="88">
        <f t="shared" si="5"/>
        <v>0</v>
      </c>
      <c r="I82" s="89"/>
      <c r="J82" s="88">
        <f t="shared" si="6"/>
        <v>0</v>
      </c>
      <c r="K82" s="88">
        <f t="shared" si="7"/>
        <v>0</v>
      </c>
    </row>
    <row r="83" spans="1:11" s="24" customFormat="1" ht="13.8">
      <c r="A83" s="23"/>
      <c r="B83" s="199" t="s">
        <v>21</v>
      </c>
      <c r="C83" s="22" t="s">
        <v>20</v>
      </c>
      <c r="D83" s="200">
        <f>D77</f>
        <v>160.44999999999999</v>
      </c>
      <c r="E83" s="201"/>
      <c r="F83" s="88">
        <f t="shared" si="4"/>
        <v>0</v>
      </c>
      <c r="G83" s="89"/>
      <c r="H83" s="88">
        <f t="shared" si="5"/>
        <v>0</v>
      </c>
      <c r="I83" s="89"/>
      <c r="J83" s="88">
        <f t="shared" si="6"/>
        <v>0</v>
      </c>
      <c r="K83" s="88">
        <f t="shared" si="7"/>
        <v>0</v>
      </c>
    </row>
    <row r="84" spans="1:11">
      <c r="A84" s="82"/>
      <c r="B84" s="87" t="s">
        <v>34</v>
      </c>
      <c r="C84" s="84"/>
      <c r="D84" s="85"/>
      <c r="E84" s="86"/>
      <c r="F84" s="252">
        <f>SUM(F11:F83)</f>
        <v>0</v>
      </c>
      <c r="G84" s="252"/>
      <c r="H84" s="252">
        <f>SUM(H11:H83)</f>
        <v>0</v>
      </c>
      <c r="I84" s="252"/>
      <c r="J84" s="252">
        <f>SUM(J11:J83)</f>
        <v>0</v>
      </c>
      <c r="K84" s="252">
        <f>SUM(K11:K83)</f>
        <v>0</v>
      </c>
    </row>
    <row r="85" spans="1:11">
      <c r="A85" s="35"/>
      <c r="B85" s="36" t="s">
        <v>35</v>
      </c>
      <c r="C85" s="37"/>
      <c r="D85" s="31"/>
      <c r="E85" s="62"/>
      <c r="F85" s="253"/>
      <c r="G85" s="253"/>
      <c r="H85" s="253"/>
      <c r="I85" s="253"/>
      <c r="J85" s="253"/>
      <c r="K85" s="253">
        <f>F84*C85</f>
        <v>0</v>
      </c>
    </row>
    <row r="86" spans="1:11">
      <c r="A86" s="35"/>
      <c r="B86" s="29" t="s">
        <v>34</v>
      </c>
      <c r="C86" s="38"/>
      <c r="D86" s="31"/>
      <c r="E86" s="62"/>
      <c r="F86" s="253"/>
      <c r="G86" s="253"/>
      <c r="H86" s="253"/>
      <c r="I86" s="253"/>
      <c r="J86" s="253"/>
      <c r="K86" s="253">
        <f>SUM(K84:K85)</f>
        <v>0</v>
      </c>
    </row>
    <row r="87" spans="1:11">
      <c r="A87" s="35"/>
      <c r="B87" s="29" t="s">
        <v>36</v>
      </c>
      <c r="C87" s="39"/>
      <c r="D87" s="31"/>
      <c r="E87" s="62"/>
      <c r="F87" s="253"/>
      <c r="G87" s="253"/>
      <c r="H87" s="253"/>
      <c r="I87" s="253"/>
      <c r="J87" s="253"/>
      <c r="K87" s="253">
        <f>K86*C87</f>
        <v>0</v>
      </c>
    </row>
    <row r="88" spans="1:11">
      <c r="A88" s="35"/>
      <c r="B88" s="29" t="s">
        <v>34</v>
      </c>
      <c r="C88" s="38"/>
      <c r="D88" s="31"/>
      <c r="E88" s="62"/>
      <c r="F88" s="253"/>
      <c r="G88" s="253"/>
      <c r="H88" s="253"/>
      <c r="I88" s="253"/>
      <c r="J88" s="253"/>
      <c r="K88" s="253">
        <f>SUM(K86:K87)</f>
        <v>0</v>
      </c>
    </row>
    <row r="89" spans="1:11">
      <c r="A89" s="35"/>
      <c r="B89" s="29" t="s">
        <v>37</v>
      </c>
      <c r="C89" s="40"/>
      <c r="D89" s="31"/>
      <c r="E89" s="62"/>
      <c r="F89" s="253"/>
      <c r="G89" s="253"/>
      <c r="H89" s="253"/>
      <c r="I89" s="253"/>
      <c r="J89" s="253"/>
      <c r="K89" s="253">
        <f>K88*C89</f>
        <v>0</v>
      </c>
    </row>
    <row r="90" spans="1:11">
      <c r="A90" s="35"/>
      <c r="B90" s="29" t="s">
        <v>34</v>
      </c>
      <c r="C90" s="38"/>
      <c r="D90" s="31"/>
      <c r="E90" s="62"/>
      <c r="F90" s="253"/>
      <c r="G90" s="253"/>
      <c r="H90" s="253"/>
      <c r="I90" s="253"/>
      <c r="J90" s="253"/>
      <c r="K90" s="253">
        <f>SUM(K88:K89)</f>
        <v>0</v>
      </c>
    </row>
    <row r="91" spans="1:11">
      <c r="A91" s="35"/>
      <c r="B91" s="29" t="s">
        <v>38</v>
      </c>
      <c r="C91" s="41"/>
      <c r="D91" s="31"/>
      <c r="E91" s="62"/>
      <c r="F91" s="253"/>
      <c r="G91" s="253"/>
      <c r="H91" s="253"/>
      <c r="I91" s="253"/>
      <c r="J91" s="253"/>
      <c r="K91" s="253">
        <f>K90*C91</f>
        <v>0</v>
      </c>
    </row>
    <row r="92" spans="1:11">
      <c r="A92" s="82"/>
      <c r="B92" s="83" t="s">
        <v>34</v>
      </c>
      <c r="C92" s="84"/>
      <c r="D92" s="85"/>
      <c r="E92" s="86"/>
      <c r="F92" s="252"/>
      <c r="G92" s="252"/>
      <c r="H92" s="252"/>
      <c r="I92" s="252"/>
      <c r="J92" s="252"/>
      <c r="K92" s="252">
        <f>SUM(K90:K91)</f>
        <v>0</v>
      </c>
    </row>
    <row r="94" spans="1:11">
      <c r="K94" s="59"/>
    </row>
    <row r="96" spans="1:11">
      <c r="H96" s="43"/>
    </row>
    <row r="97" spans="8:11">
      <c r="H97" s="43"/>
    </row>
    <row r="99" spans="8:11">
      <c r="K99" s="43"/>
    </row>
    <row r="100" spans="8:11">
      <c r="H100" s="43"/>
    </row>
  </sheetData>
  <autoFilter ref="A2:K138" xr:uid="{8056BF4D-8BEA-44A0-9188-C51D6772257F}"/>
  <mergeCells count="9">
    <mergeCell ref="A6:B6"/>
    <mergeCell ref="A2:K2"/>
    <mergeCell ref="A3:K3"/>
    <mergeCell ref="A8:A9"/>
    <mergeCell ref="B8:B9"/>
    <mergeCell ref="C8:C9"/>
    <mergeCell ref="E8:F8"/>
    <mergeCell ref="G8:H8"/>
    <mergeCell ref="I8:J8"/>
  </mergeCells>
  <printOptions horizontalCentered="1"/>
  <pageMargins left="0" right="0" top="0.39370078740157483" bottom="0.39370078740157483" header="0" footer="0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ჯამური</vt:lpstr>
      <vt:lpstr>მოსამზ.</vt:lpstr>
      <vt:lpstr>კონსტრუქცია</vt:lpstr>
      <vt:lpstr>არქიტექტურა</vt:lpstr>
      <vt:lpstr>გარე ტერიტორია</vt:lpstr>
      <vt:lpstr>არქიტექტურა!Print_Area</vt:lpstr>
      <vt:lpstr>'გარე ტერიტორია'!Print_Area</vt:lpstr>
      <vt:lpstr>კონსტრუქცია!Print_Area</vt:lpstr>
      <vt:lpstr>მოსამზ.!Print_Area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EC-PC</dc:creator>
  <cp:lastModifiedBy>Elene</cp:lastModifiedBy>
  <cp:lastPrinted>2023-03-02T09:52:34Z</cp:lastPrinted>
  <dcterms:created xsi:type="dcterms:W3CDTF">2015-06-05T18:17:20Z</dcterms:created>
  <dcterms:modified xsi:type="dcterms:W3CDTF">2024-06-04T10:22:59Z</dcterms:modified>
</cp:coreProperties>
</file>