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lagadze\Desktop\Projects\რუსთავი\ტენდერები\R-002-BID-20  PR-233641 ჩათმის რეზერვ შემავსებელი მილსად რეაბილიტ -გაგარინი\tenders.ge\"/>
    </mc:Choice>
  </mc:AlternateContent>
  <bookViews>
    <workbookView xWindow="0" yWindow="0" windowWidth="19200" windowHeight="7050" tabRatio="903"/>
  </bookViews>
  <sheets>
    <sheet name="მილი" sheetId="43" r:id="rId1"/>
    <sheet name="ვანტუზი" sheetId="58" r:id="rId2"/>
    <sheet name="ურდულის ჭა ვანტუზით და დამცლელი" sheetId="60" r:id="rId3"/>
    <sheet name="განშტოების ჭა" sheetId="59" r:id="rId4"/>
  </sheets>
  <definedNames>
    <definedName name="_xlnm._FilterDatabase" localSheetId="0" hidden="1">მილი!$D$1:$D$96</definedName>
    <definedName name="_xlnm.Print_Area" localSheetId="3">'განშტოების ჭა'!$A$1:$M$118</definedName>
    <definedName name="_xlnm.Print_Area" localSheetId="1">ვანტუზი!$A$1:$M$105</definedName>
    <definedName name="_xlnm.Print_Area" localSheetId="0">მილი!$A$1:$N$99</definedName>
    <definedName name="_xlnm.Print_Area" localSheetId="2">'ურდულის ჭა ვანტუზით და დამცლელი'!$A$1:$M$174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1" i="43" l="1"/>
  <c r="M100" i="43"/>
  <c r="F77" i="43" l="1"/>
  <c r="F103" i="59" l="1"/>
  <c r="F102" i="59"/>
  <c r="F105" i="59"/>
  <c r="F111" i="59" s="1"/>
  <c r="F97" i="59"/>
  <c r="F93" i="59"/>
  <c r="F92" i="59"/>
  <c r="F60" i="59"/>
  <c r="F66" i="59" s="1"/>
  <c r="E64" i="59"/>
  <c r="F55" i="59"/>
  <c r="F53" i="59"/>
  <c r="F40" i="59"/>
  <c r="F39" i="59"/>
  <c r="F37" i="59"/>
  <c r="F36" i="59"/>
  <c r="F31" i="59"/>
  <c r="F26" i="59"/>
  <c r="F34" i="59" s="1"/>
  <c r="F22" i="59"/>
  <c r="F17" i="59"/>
  <c r="F19" i="59" s="1"/>
  <c r="F11" i="59"/>
  <c r="F15" i="59" s="1"/>
  <c r="E33" i="59"/>
  <c r="E24" i="59"/>
  <c r="F8" i="59"/>
  <c r="F128" i="60"/>
  <c r="F161" i="60"/>
  <c r="F166" i="60" s="1"/>
  <c r="F98" i="59" l="1"/>
  <c r="F162" i="60"/>
  <c r="F167" i="60"/>
  <c r="F168" i="60"/>
  <c r="F107" i="59"/>
  <c r="F110" i="59"/>
  <c r="F112" i="59"/>
  <c r="F106" i="59"/>
  <c r="F108" i="59"/>
  <c r="F28" i="59"/>
  <c r="F30" i="59"/>
  <c r="F61" i="59"/>
  <c r="F62" i="59"/>
  <c r="F64" i="59"/>
  <c r="F65" i="59"/>
  <c r="F16" i="59"/>
  <c r="F32" i="59"/>
  <c r="F33" i="59"/>
  <c r="F27" i="59"/>
  <c r="F24" i="59"/>
  <c r="F12" i="59"/>
  <c r="F13" i="59"/>
  <c r="F18" i="59"/>
  <c r="F21" i="59"/>
  <c r="F23" i="59"/>
  <c r="F25" i="59"/>
  <c r="F163" i="60"/>
  <c r="F164" i="60"/>
  <c r="F160" i="60" l="1"/>
  <c r="F159" i="60"/>
  <c r="F157" i="60"/>
  <c r="F156" i="60"/>
  <c r="F154" i="60"/>
  <c r="F153" i="60"/>
  <c r="F151" i="60"/>
  <c r="F150" i="60"/>
  <c r="F148" i="60"/>
  <c r="F147" i="60"/>
  <c r="F145" i="60"/>
  <c r="F144" i="60"/>
  <c r="F142" i="60"/>
  <c r="F138" i="60"/>
  <c r="F137" i="60"/>
  <c r="F118" i="60"/>
  <c r="F120" i="60" s="1"/>
  <c r="F99" i="60"/>
  <c r="F98" i="60"/>
  <c r="F96" i="60"/>
  <c r="F95" i="60"/>
  <c r="E93" i="60"/>
  <c r="F93" i="60" s="1"/>
  <c r="F92" i="60"/>
  <c r="E90" i="60"/>
  <c r="F90" i="60" s="1"/>
  <c r="E89" i="60"/>
  <c r="F89" i="60" s="1"/>
  <c r="F87" i="60"/>
  <c r="F86" i="60"/>
  <c r="F84" i="60"/>
  <c r="F83" i="60"/>
  <c r="F81" i="60"/>
  <c r="F80" i="60"/>
  <c r="F78" i="60"/>
  <c r="F77" i="60"/>
  <c r="F69" i="60"/>
  <c r="F74" i="60" s="1"/>
  <c r="E73" i="60"/>
  <c r="F64" i="60"/>
  <c r="F62" i="60"/>
  <c r="F55" i="60"/>
  <c r="F54" i="60"/>
  <c r="F52" i="60"/>
  <c r="F51" i="60"/>
  <c r="F40" i="60"/>
  <c r="F31" i="60"/>
  <c r="F22" i="60"/>
  <c r="F35" i="60"/>
  <c r="F39" i="60" s="1"/>
  <c r="E42" i="60"/>
  <c r="F26" i="60"/>
  <c r="F17" i="60"/>
  <c r="F11" i="60"/>
  <c r="F93" i="43"/>
  <c r="F91" i="43"/>
  <c r="F90" i="43"/>
  <c r="F83" i="43"/>
  <c r="F81" i="43"/>
  <c r="F80" i="43"/>
  <c r="F88" i="43"/>
  <c r="F86" i="43"/>
  <c r="F85" i="43"/>
  <c r="F8" i="60"/>
  <c r="F51" i="58"/>
  <c r="F56" i="58" s="1"/>
  <c r="E55" i="58"/>
  <c r="F123" i="60" l="1"/>
  <c r="F122" i="60"/>
  <c r="F119" i="60"/>
  <c r="F75" i="60"/>
  <c r="F70" i="60"/>
  <c r="F71" i="60"/>
  <c r="F73" i="60"/>
  <c r="F36" i="60"/>
  <c r="F37" i="60"/>
  <c r="F41" i="60"/>
  <c r="F42" i="60"/>
  <c r="F43" i="60"/>
  <c r="F57" i="58"/>
  <c r="F52" i="58"/>
  <c r="F53" i="58"/>
  <c r="F55" i="58"/>
  <c r="F43" i="58" l="1"/>
  <c r="F28" i="58"/>
  <c r="F19" i="58"/>
  <c r="F23" i="58"/>
  <c r="F14" i="58"/>
  <c r="F8" i="58"/>
  <c r="F130" i="60"/>
  <c r="F124" i="60"/>
  <c r="F126" i="60" s="1"/>
  <c r="F117" i="60"/>
  <c r="F116" i="60"/>
  <c r="F114" i="60"/>
  <c r="F113" i="60"/>
  <c r="F111" i="60"/>
  <c r="F110" i="60"/>
  <c r="F108" i="60"/>
  <c r="F107" i="60"/>
  <c r="F105" i="60"/>
  <c r="F104" i="60"/>
  <c r="F102" i="60"/>
  <c r="F101" i="60"/>
  <c r="F68" i="60"/>
  <c r="F63" i="60"/>
  <c r="E49" i="60"/>
  <c r="F49" i="60" s="1"/>
  <c r="E48" i="60"/>
  <c r="F48" i="60" s="1"/>
  <c r="E46" i="60"/>
  <c r="F46" i="60" s="1"/>
  <c r="E45" i="60"/>
  <c r="F45" i="60" s="1"/>
  <c r="F34" i="60"/>
  <c r="E33" i="60"/>
  <c r="F33" i="60" s="1"/>
  <c r="F32" i="60"/>
  <c r="F30" i="60"/>
  <c r="F28" i="60"/>
  <c r="F27" i="60"/>
  <c r="E24" i="60"/>
  <c r="F23" i="60"/>
  <c r="F19" i="60"/>
  <c r="F18" i="60"/>
  <c r="F25" i="60"/>
  <c r="F16" i="60"/>
  <c r="F15" i="60"/>
  <c r="F13" i="60"/>
  <c r="F12" i="60"/>
  <c r="F90" i="59"/>
  <c r="F89" i="59"/>
  <c r="F87" i="59"/>
  <c r="F86" i="59"/>
  <c r="F84" i="59"/>
  <c r="F83" i="59"/>
  <c r="F81" i="59"/>
  <c r="F80" i="59"/>
  <c r="F78" i="59"/>
  <c r="F77" i="59"/>
  <c r="F75" i="59"/>
  <c r="F74" i="59"/>
  <c r="E72" i="59"/>
  <c r="F72" i="59" s="1"/>
  <c r="F71" i="59"/>
  <c r="E69" i="59"/>
  <c r="F69" i="59" s="1"/>
  <c r="E68" i="59"/>
  <c r="F68" i="59" s="1"/>
  <c r="F58" i="59"/>
  <c r="F54" i="59"/>
  <c r="E46" i="59"/>
  <c r="F46" i="59" s="1"/>
  <c r="E45" i="59"/>
  <c r="F45" i="59" s="1"/>
  <c r="E43" i="59"/>
  <c r="F43" i="59" s="1"/>
  <c r="E42" i="59"/>
  <c r="F42" i="59" s="1"/>
  <c r="F10" i="59"/>
  <c r="F9" i="59"/>
  <c r="F57" i="59" l="1"/>
  <c r="F59" i="59"/>
  <c r="F129" i="60"/>
  <c r="F65" i="60"/>
  <c r="F66" i="60"/>
  <c r="F67" i="60"/>
  <c r="F10" i="60"/>
  <c r="F9" i="60"/>
  <c r="F21" i="60"/>
  <c r="F24" i="60"/>
  <c r="F131" i="60"/>
  <c r="F135" i="60"/>
  <c r="F132" i="60"/>
  <c r="F125" i="60"/>
  <c r="F104" i="59"/>
  <c r="F100" i="59"/>
  <c r="F99" i="59"/>
  <c r="F56" i="59"/>
  <c r="L170" i="60" l="1"/>
  <c r="M170" i="60"/>
  <c r="J170" i="60"/>
  <c r="H170" i="60"/>
  <c r="L114" i="59"/>
  <c r="H114" i="59"/>
  <c r="M114" i="59"/>
  <c r="J114" i="59"/>
  <c r="M171" i="60" l="1"/>
  <c r="M172" i="60" s="1"/>
  <c r="M173" i="60" s="1"/>
  <c r="M174" i="60" s="1"/>
  <c r="M115" i="59"/>
  <c r="M116" i="59" s="1"/>
  <c r="M117" i="59" s="1"/>
  <c r="M118" i="59" s="1"/>
  <c r="E99" i="58" l="1"/>
  <c r="F99" i="58" s="1"/>
  <c r="F98" i="58"/>
  <c r="E96" i="58"/>
  <c r="F96" i="58" s="1"/>
  <c r="E95" i="58"/>
  <c r="F95" i="58" s="1"/>
  <c r="E93" i="58"/>
  <c r="F93" i="58" s="1"/>
  <c r="F92" i="58"/>
  <c r="E90" i="58"/>
  <c r="F90" i="58" s="1"/>
  <c r="E89" i="58"/>
  <c r="F89" i="58" s="1"/>
  <c r="F82" i="58"/>
  <c r="F83" i="58" s="1"/>
  <c r="F81" i="58"/>
  <c r="F80" i="58"/>
  <c r="F78" i="58"/>
  <c r="F77" i="58"/>
  <c r="E75" i="58"/>
  <c r="F75" i="58" s="1"/>
  <c r="F74" i="58"/>
  <c r="E72" i="58"/>
  <c r="F72" i="58" s="1"/>
  <c r="E71" i="58"/>
  <c r="F71" i="58" s="1"/>
  <c r="F69" i="58"/>
  <c r="F68" i="58"/>
  <c r="F66" i="58"/>
  <c r="F65" i="58"/>
  <c r="F63" i="58"/>
  <c r="F62" i="58"/>
  <c r="F60" i="58"/>
  <c r="F59" i="58"/>
  <c r="F50" i="58"/>
  <c r="E42" i="58"/>
  <c r="F42" i="58" s="1"/>
  <c r="E41" i="58"/>
  <c r="F41" i="58" s="1"/>
  <c r="E39" i="58"/>
  <c r="F39" i="58" s="1"/>
  <c r="E38" i="58"/>
  <c r="F38" i="58" s="1"/>
  <c r="F36" i="58"/>
  <c r="F35" i="58"/>
  <c r="F33" i="58"/>
  <c r="E30" i="58"/>
  <c r="F29" i="58"/>
  <c r="F27" i="58"/>
  <c r="F24" i="58"/>
  <c r="F25" i="58"/>
  <c r="E21" i="58"/>
  <c r="F16" i="58"/>
  <c r="F12" i="58"/>
  <c r="F10" i="58"/>
  <c r="F13" i="58"/>
  <c r="F84" i="58" l="1"/>
  <c r="F21" i="58"/>
  <c r="F30" i="58"/>
  <c r="F87" i="58"/>
  <c r="F9" i="58"/>
  <c r="F31" i="58"/>
  <c r="F15" i="58"/>
  <c r="F46" i="58"/>
  <c r="F22" i="58"/>
  <c r="F20" i="58"/>
  <c r="F49" i="58"/>
  <c r="F18" i="58"/>
  <c r="F44" i="58"/>
  <c r="F45" i="58"/>
  <c r="F48" i="58"/>
  <c r="M101" i="58" l="1"/>
  <c r="J101" i="58"/>
  <c r="L101" i="58"/>
  <c r="H101" i="58"/>
  <c r="M102" i="58" l="1"/>
  <c r="M103" i="58" s="1"/>
  <c r="M104" i="58" s="1"/>
  <c r="M105" i="58" s="1"/>
  <c r="F50" i="43" l="1"/>
  <c r="F44" i="43"/>
  <c r="F48" i="43" s="1"/>
  <c r="F30" i="43"/>
  <c r="F21" i="43"/>
  <c r="F16" i="43"/>
  <c r="F14" i="43"/>
  <c r="F9" i="43"/>
  <c r="F13" i="43" s="1"/>
  <c r="F12" i="43"/>
  <c r="E10" i="43"/>
  <c r="F10" i="43" l="1"/>
  <c r="F46" i="43"/>
  <c r="F49" i="43"/>
  <c r="F45" i="43"/>
  <c r="F11" i="43"/>
  <c r="F29" i="43" l="1"/>
  <c r="F28" i="43"/>
  <c r="F26" i="43"/>
  <c r="F25" i="43"/>
  <c r="F74" i="43" l="1"/>
  <c r="F73" i="43"/>
  <c r="F72" i="43"/>
  <c r="F70" i="43"/>
  <c r="E68" i="43"/>
  <c r="F68" i="43" s="1"/>
  <c r="E66" i="43"/>
  <c r="F66" i="43" s="1"/>
  <c r="E65" i="43"/>
  <c r="F65" i="43" s="1"/>
  <c r="F20" i="43"/>
  <c r="F19" i="43" l="1"/>
  <c r="F18" i="43"/>
  <c r="F17" i="43"/>
  <c r="F75" i="43" l="1"/>
  <c r="F38" i="43"/>
  <c r="F32" i="43"/>
  <c r="F7" i="43"/>
  <c r="F78" i="43" l="1"/>
  <c r="E76" i="43"/>
  <c r="F63" i="43"/>
  <c r="F76" i="43" l="1"/>
  <c r="F57" i="43" l="1"/>
  <c r="F51" i="43"/>
  <c r="F31" i="43"/>
  <c r="F23" i="43"/>
  <c r="F22" i="43"/>
  <c r="E15" i="43"/>
  <c r="F15" i="43" s="1"/>
  <c r="F43" i="43" l="1"/>
  <c r="F39" i="43"/>
  <c r="F58" i="43"/>
  <c r="F33" i="43"/>
  <c r="F40" i="43"/>
  <c r="F34" i="43"/>
  <c r="F36" i="43"/>
  <c r="F42" i="43"/>
  <c r="F37" i="43"/>
  <c r="F52" i="43"/>
  <c r="F54" i="43"/>
  <c r="F55" i="43"/>
  <c r="F8" i="43" l="1"/>
  <c r="H95" i="43"/>
  <c r="J95" i="43" l="1"/>
  <c r="L95" i="43"/>
  <c r="M95" i="43"/>
  <c r="M96" i="43" s="1"/>
  <c r="M97" i="43" s="1"/>
  <c r="M98" i="43" s="1"/>
  <c r="M99" i="43" s="1"/>
</calcChain>
</file>

<file path=xl/sharedStrings.xml><?xml version="1.0" encoding="utf-8"?>
<sst xmlns="http://schemas.openxmlformats.org/spreadsheetml/2006/main" count="1511" uniqueCount="270">
  <si>
    <t>ჰუმუსოვანი ფენის მოჭრა სისქით 20 სმ ბულდოზერით გადაადგილება 20 მ-ზე შესაგროვებლად/
Cutting 20cm topsoil with a bulldozer, moving over 20m for storage</t>
  </si>
  <si>
    <t>III ჯგ. გრუნტის დამუშავება ექსკავატორით, გრუნტის ადგილზე დაყრით/
Treatment of  Class 3 soil, placing aside, on the place</t>
  </si>
  <si>
    <t>დამუშავებული ჰუმუსოვანი ფენის აღდგენა ბულდოზერით 20 მ-ზე გადაადგილებით/
Restoration of the top soil with a bulldozer moving over 20m.</t>
  </si>
  <si>
    <t>ადრე დამუშავებული გრუნტის უკუჩაყრა ტრანშეაში ბულდოზერით/
Backfilling of excavated soil in the trench with a bulldozer</t>
  </si>
  <si>
    <t>საშუალო ინტენსიობის ბუჩქნარის გაჩეხვა, შეგროვება და დაწვა/
Cutting off, gathering and burning of bushes of medium intensity</t>
  </si>
  <si>
    <t>ტრანშეის ხელით დამუშავება/
Tranch levelling by hand</t>
  </si>
  <si>
    <t>ფოლადის მილის ნორმალური ანტიკოროზიული იზოლაცია/
Standard anticorrosion insulation of steel pipes</t>
  </si>
  <si>
    <t>ფოლადის მილის შეძენა-ტრანსპორტირება-მონტაჟი (შედუღებით გადაბმით), ჰიდრავლიკური გამოცდით D=700მმ, სისქე 6.3 მმ/
Purchase-transportation-installation (abutting joint) of steel pipe, with hydraulic test D=700mm, thickness 6.3mm</t>
  </si>
  <si>
    <t>#</t>
  </si>
  <si>
    <t>ჯამი / Total</t>
  </si>
  <si>
    <t>სამუშაოს დასახელება / Work Description</t>
  </si>
  <si>
    <t xml:space="preserve">საფუძველი Basis </t>
  </si>
  <si>
    <t>განზ. ერთ.  Dimens. Unit</t>
  </si>
  <si>
    <t>რაოდენობა Quantity</t>
  </si>
  <si>
    <t>მასალა Material</t>
  </si>
  <si>
    <t xml:space="preserve"> ხელფასი  Salary</t>
  </si>
  <si>
    <t>მანქანა-მექანიზმები  Machinery-equipment</t>
  </si>
  <si>
    <t>სულ ჯამი  Grand Total</t>
  </si>
  <si>
    <t>ნორმ. ერთ-ზე/ Norm per unit</t>
  </si>
  <si>
    <t xml:space="preserve">სულ Total </t>
  </si>
  <si>
    <t>ერთ. ფასი Unit Price</t>
  </si>
  <si>
    <t>ცალი/unit</t>
  </si>
  <si>
    <t>ზედნადები ხარჯები / Overhead costs</t>
  </si>
  <si>
    <t>გეგმიური დაგროვება / Benefit</t>
  </si>
  <si>
    <t>1-112-2</t>
  </si>
  <si>
    <t>1 ha/ჰა</t>
  </si>
  <si>
    <t xml:space="preserve"> ბუჩქმჭრელი კიდული ტრაქტორზე 79 კვტ (108 ცხ.ძ) /Brush  cutter on tractor 79 KW (108 hp)</t>
  </si>
  <si>
    <t>სრფ 13-166</t>
  </si>
  <si>
    <t>მანქ/სთ
mach/hour</t>
  </si>
  <si>
    <t>ბულდოზერი 59 კვტ (130 ცხ. ძ) Bulldozer 59 kW (130 hp)</t>
  </si>
  <si>
    <t>სრფ 13-141</t>
  </si>
  <si>
    <t>მანქ/სთ-mach/hour</t>
  </si>
  <si>
    <t>1-29-3(10)</t>
  </si>
  <si>
    <r>
      <t>1000 m</t>
    </r>
    <r>
      <rPr>
        <b/>
        <vertAlign val="superscript"/>
        <sz val="10"/>
        <rFont val="Sylfaen"/>
        <family val="1"/>
      </rPr>
      <t>3</t>
    </r>
  </si>
  <si>
    <t>შრომის დანახარჯი / Labour cost</t>
  </si>
  <si>
    <t>კაცი/სთ
man/hour</t>
  </si>
  <si>
    <t>ექსკავატორი 0.65 m3 პნევმოთვლიან სვლაზე / Pneumatic excavator 0.65 m3</t>
  </si>
  <si>
    <t>სრფ 13-127</t>
  </si>
  <si>
    <t>1-53-13</t>
  </si>
  <si>
    <t>1-64-3</t>
  </si>
  <si>
    <t>მასალები: Materials:</t>
  </si>
  <si>
    <r>
      <t>m</t>
    </r>
    <r>
      <rPr>
        <vertAlign val="superscript"/>
        <sz val="10"/>
        <rFont val="Sylfaen"/>
        <family val="1"/>
      </rPr>
      <t>3</t>
    </r>
  </si>
  <si>
    <t>22-5-15</t>
  </si>
  <si>
    <t>კმ/km</t>
  </si>
  <si>
    <t>სხვა მანქანები / Other machinery</t>
  </si>
  <si>
    <t>ლარი/Gel</t>
  </si>
  <si>
    <t>ფოლადის მილის D=900მმ, სისქე 8 მმ/
 steel pipe D=900mm, thickness 8mm</t>
  </si>
  <si>
    <t>სრფ 2.1-1</t>
  </si>
  <si>
    <t>გრძ.მ./meter</t>
  </si>
  <si>
    <t>სხვა მასალები / Other materials</t>
  </si>
  <si>
    <t>22-5-13</t>
  </si>
  <si>
    <t>ფოლადის მილის D=700მმ, სისქე 6.3 მმ/
 steel pipe D=700mm, thickness 6.3mm</t>
  </si>
  <si>
    <t>22-9-15</t>
  </si>
  <si>
    <t>ბიტუმი / Bitum</t>
  </si>
  <si>
    <t>სრფ 4.1-506</t>
  </si>
  <si>
    <t>ტ/t</t>
  </si>
  <si>
    <t>ფოლადის ფასონური ნაწილების მოწყობა /
Arrangement of steel parts</t>
  </si>
  <si>
    <t>22-22-6</t>
  </si>
  <si>
    <t>კაცი/სთ-
man/hour</t>
  </si>
  <si>
    <t>1-31-3</t>
  </si>
  <si>
    <t>ბულდოზერი 59 კვტ (80 ცხ. ძ) Bulldozer 59 kW (80 hp)</t>
  </si>
  <si>
    <t>1-22-9
სრფ</t>
  </si>
  <si>
    <t>ტრანსპორტირება 15 კმ-ზე / transportation over 15km</t>
  </si>
  <si>
    <t>სრფ 14-15</t>
  </si>
  <si>
    <r>
      <t>m</t>
    </r>
    <r>
      <rPr>
        <b/>
        <vertAlign val="superscript"/>
        <sz val="10"/>
        <rFont val="Sylfaen"/>
        <family val="1"/>
      </rPr>
      <t>3</t>
    </r>
  </si>
  <si>
    <t>1-123-1</t>
  </si>
  <si>
    <t>კაც/სთ/
man/hour</t>
  </si>
  <si>
    <t>მასალები: /  Materials:</t>
  </si>
  <si>
    <r>
      <t>100 m</t>
    </r>
    <r>
      <rPr>
        <b/>
        <vertAlign val="superscript"/>
        <sz val="10"/>
        <rFont val="Sylfaen"/>
        <family val="1"/>
      </rPr>
      <t>2</t>
    </r>
  </si>
  <si>
    <t>ქ. რუსთავში, გაგარინის ქუჩის მიმდებარედ (კოსტავას ქუჩიდან უსახელო ქუჩამდე) წყალსადენის ქსელის რეაბილიტაცია
Rehabilitation of water supply network near Gagarini Street in Rustavi (from Kostava Street till Usakhelo Street)</t>
  </si>
  <si>
    <t xml:space="preserve">ხარჯთაღრიცხვა/ BOQ </t>
  </si>
  <si>
    <t>გარსაცმი მილი D=900 მმ/
Casing pipe D = 900 mm</t>
  </si>
  <si>
    <t>ფოლადის გადამყვანი D=700-900 მმ
steel reducer D=700-900 mm</t>
  </si>
  <si>
    <t>ასფალტ-ბეტონის საფარის მოხსნა, დატვირთვა თვითმცლელზე და გატანა 15 კმ-ზე
Asphalt-concrete removal, loading on dump truck and  transportation on 15km distance holes</t>
  </si>
  <si>
    <t>შრომის დანახარჯი / Labour costs</t>
  </si>
  <si>
    <t>მასალები: / Materials:</t>
  </si>
  <si>
    <t>ღორღი / Gravel</t>
  </si>
  <si>
    <t>სრფ 4.1-246</t>
  </si>
  <si>
    <t>ასფალტ-ბეტონის საფარის ქვეშ ღორღის ფენის მოწყობა 20 სმ
Arrangement of gravel under asphalt-concrete cover 20 cm</t>
  </si>
  <si>
    <t>ასფალტ-ბეტონის საფარის აღდგენა
Asphalt-concrete pavement restoration</t>
  </si>
  <si>
    <t>27-42-1,2</t>
  </si>
  <si>
    <t>tona</t>
  </si>
  <si>
    <t>ასფალტბეტონის რანევი</t>
  </si>
  <si>
    <t>ქვიშა</t>
  </si>
  <si>
    <t>თხევადი ბითუმი</t>
  </si>
  <si>
    <t>სრფ 13-126</t>
  </si>
  <si>
    <t>არსებული განშტოების ურდულის დემონტაჟი და დასაწყობება ადგილზე/  Dismantling of the existing branch valve and storage on site</t>
  </si>
  <si>
    <t>არსებული ფოლადის მილის D=800 მმ დემონტაჟი და დასაწყობება ადგილზე/Dismantling of existing steel pipe D = 800 mm and storage on site</t>
  </si>
  <si>
    <t>ხეების მოჭრა, ამოძირკვა და დასაწყობება ადგილზე დ= 30 სმ/
Cutting off and uprooting trees d=30cm</t>
  </si>
  <si>
    <t>1-104-3
1-108-3</t>
  </si>
  <si>
    <t>100ცალი
/100unit</t>
  </si>
  <si>
    <t xml:space="preserve"> ამომძირკველი-მომგროვებელი ტრაქტორზე 79 კვტ (108 ცხ.ძ) /Mower-collector on tractor 79 KW (108 hp)</t>
  </si>
  <si>
    <t>სრფ 13-164</t>
  </si>
  <si>
    <t xml:space="preserve"> ტრაქტორი 79 კვტ (108 ცხ.ძ) / Tractor 79 KW (108 hp)</t>
  </si>
  <si>
    <t>სრფ 13-7</t>
  </si>
  <si>
    <t>ფოლადის მილის შეძენა-ტრანსპორტირება-მონტაჟი (შედუღებით გადაბმით), ჰიდრავლიკური გამოცდით D=300მმ, სისქე 4 მმ/
Purchase-transportation-installation (abutting joint) of steel pipe, with hydraulic test D=300mm, thickness 4mm</t>
  </si>
  <si>
    <t>ფოლადის მილის D=300მმ, სისქე 4 მმ/
 steel pipe D=300mm, thickness 4mm</t>
  </si>
  <si>
    <t>ცალი/
unit</t>
  </si>
  <si>
    <t>ფოლადის მუხლი α=45º d=700 მმ δ=6.3მმ/
 Steel elbow  α=45º d=700mm δ=6.3mm</t>
  </si>
  <si>
    <t>ფოლადის მუხლი α=30º d=300 მმ δ=4 მმ/
 Steel elbow  α=30º d=300mm δ=4 mm</t>
  </si>
  <si>
    <t xml:space="preserve">დარჩენილი III ჯგ. გრუნტის დამუშავება ექსკავატორით დატვირთვა ა/თვითმცლელებში და ტრანსპორტირება 15 კმ-ზე/
Rest of Class 3 soil bucket excavator, loading on dump trucks and transportation over 15km </t>
  </si>
  <si>
    <r>
      <t>100 m</t>
    </r>
    <r>
      <rPr>
        <b/>
        <vertAlign val="superscript"/>
        <sz val="10"/>
        <rFont val="Sylfaen"/>
        <family val="1"/>
      </rPr>
      <t>3</t>
    </r>
  </si>
  <si>
    <t>2</t>
  </si>
  <si>
    <t>ნაგებობის ქვეშ ბეტონის მოსამზადებელი ფენის მოწყობა მჭლე ბეტონით / Concrete preparatory layer arrangement with lean concrete under the structure</t>
  </si>
  <si>
    <t>6-1-1</t>
  </si>
  <si>
    <t>ბეტონი B10 / Concrete B 10</t>
  </si>
  <si>
    <t>სრფ 4.1-320</t>
  </si>
  <si>
    <t>მონოლითური რკ/ბეტონის ნაგებობის ძირის მოწყობა, ბეტონი B22.5 W6 F100
Monolitic reinforced concrete for the bottom of the structure, concrete B22.5 W6 F100</t>
  </si>
  <si>
    <t>6-26-3</t>
  </si>
  <si>
    <t>ბეტონი  B22.5 W6 F100 / Concrete  B22.5 W6 F100</t>
  </si>
  <si>
    <t>სრფ 4.1-323</t>
  </si>
  <si>
    <t>სრფ 1.1-28</t>
  </si>
  <si>
    <t>t/ტ</t>
  </si>
  <si>
    <t>პროექტ/Project</t>
  </si>
  <si>
    <t>ყალიბის ფარი 25-მმ/ Formwork gate 25-mm</t>
  </si>
  <si>
    <t>სრფ 5.1-149</t>
  </si>
  <si>
    <r>
      <t>m</t>
    </r>
    <r>
      <rPr>
        <vertAlign val="superscript"/>
        <sz val="10"/>
        <rFont val="Sylfaen"/>
        <family val="1"/>
      </rPr>
      <t>2</t>
    </r>
  </si>
  <si>
    <t>ხის მასალა /  Wooden material</t>
  </si>
  <si>
    <t>სრფ 5.1-9</t>
  </si>
  <si>
    <t>მონოლითური რკ/ბეტონის ნაგებობის კედლების მოწყობა, ბეტონი B22.5 W6 F100
Monolitic reinforced concrete for walls, concrete B22.5 W6 F100</t>
  </si>
  <si>
    <t>t</t>
  </si>
  <si>
    <t>ხის მასალა / Wooden material</t>
  </si>
  <si>
    <t>ჭის ძირიზე ბეტონის ხსნარის მოჭიმვა, (ქანობისთვის)
Monolitic reinforced concrete for the bottom of the structure foe slope</t>
  </si>
  <si>
    <t>11-1-11</t>
  </si>
  <si>
    <t>ცემენტის ხსნარი/ Cement solution</t>
  </si>
  <si>
    <t>სრფ 4.1-359</t>
  </si>
  <si>
    <t>9-32-12</t>
  </si>
  <si>
    <t>შრომითი რესურსები / Labour resources</t>
  </si>
  <si>
    <t>ამწე საავტომობილო სვლაზე 5ტ. / Crane 5 t</t>
  </si>
  <si>
    <t>სრფ 13-46</t>
  </si>
  <si>
    <t>სრფ 1.4-31</t>
  </si>
  <si>
    <t>ელექტროდი / Electrode</t>
  </si>
  <si>
    <t>სრფ 1.10-15</t>
  </si>
  <si>
    <t>kg</t>
  </si>
  <si>
    <t>ჭაში მეტალის ელემენტების შეღებვა ანტიკოროზიული საღებავით / Metal details painting in chamber with anticorrosive paint</t>
  </si>
  <si>
    <t>15-164-8</t>
  </si>
  <si>
    <r>
      <t>m</t>
    </r>
    <r>
      <rPr>
        <b/>
        <vertAlign val="superscript"/>
        <sz val="10"/>
        <rFont val="Sylfaen"/>
        <family val="1"/>
      </rPr>
      <t>2</t>
    </r>
  </si>
  <si>
    <t>კაცი/სთ-man/hour</t>
  </si>
  <si>
    <t>საღებავი ანტიკოროზიული / Anti-corrosive paint</t>
  </si>
  <si>
    <t>სრფ 4.2-33</t>
  </si>
  <si>
    <t>ჭის გადახურვა ლითონის კონსტრუქციით / Chamber covering with metal construction</t>
  </si>
  <si>
    <t>გადახურვის ლითონის კონსტრუქცია / Metal construction for covering</t>
  </si>
  <si>
    <t>სრფ 1.6-21</t>
  </si>
  <si>
    <t>N16, 150 მმ ვანტუზის მოწყობა ორმაგი ბურთულით / N16, 150 mm air valve arrangement with double ball</t>
  </si>
  <si>
    <t>22-26-1</t>
  </si>
  <si>
    <t>N16, 150 მმ ვანტუზი / N16, 150 mm air valve</t>
  </si>
  <si>
    <t>სრფ 6.2-8</t>
  </si>
  <si>
    <t>ფოლადის ურდულის მოწყობა D=150 mm/Steel valve arrangement D=150 mm</t>
  </si>
  <si>
    <t>22-25-3</t>
  </si>
  <si>
    <t>ფოლადის ურდული  D=150 mm / Steel valve arrangement D=150 mm</t>
  </si>
  <si>
    <t>სრფ 6.1-254</t>
  </si>
  <si>
    <t xml:space="preserve">ფოლადის მილის მოწყობა D=165.1მმ / Steel pipe arrangement D=165.1 mm </t>
  </si>
  <si>
    <t>16-8-5</t>
  </si>
  <si>
    <t>გრძ.მ./
meter</t>
  </si>
  <si>
    <t>ფოლადის მილი D=165.1 mm / Steel pipeD=165.1 mm</t>
  </si>
  <si>
    <t>სრფ 2.1-80</t>
  </si>
  <si>
    <t>ფოლადის მილტუჩის მოწყობა D=150 მმ/ Steel Flange arrangement D=150 mm</t>
  </si>
  <si>
    <t>22-29-5</t>
  </si>
  <si>
    <t>ფოლადის მილტუჩი D=150 მმ/ Steel flange D=150 mm</t>
  </si>
  <si>
    <t>სრფ 6.1-160</t>
  </si>
  <si>
    <t>22-22-5</t>
  </si>
  <si>
    <t>პოლიეთილენის სავენტილაციო მილის მოწყობა HDPE100 PN4 D=50მმ (1ცალი 15სმ) / Arrangement of polyethylene vent pipe HDPE100 PN4 D=50mm (1 pcs 15cm)</t>
  </si>
  <si>
    <t>16-6-1</t>
  </si>
  <si>
    <t>გრძ.მ.
/meter</t>
  </si>
  <si>
    <t>პოლიეთილენის მილი HDPE100 PN4 D=50mm / Polyethylene pipe HDPE50 PN4 D=100mm</t>
  </si>
  <si>
    <t>სრფ 2.8-1</t>
  </si>
  <si>
    <t xml:space="preserve">III კატეგორიის გრუნტის დამუშავება ექსკავატორით, ადგილზე დაყრით
IIIrd Class of soil excavation by an excavator and placing nearby for later backfilling </t>
  </si>
  <si>
    <t>kg/კგ</t>
  </si>
  <si>
    <t>16-8-8</t>
  </si>
  <si>
    <t>სრფ 2.1-94</t>
  </si>
  <si>
    <t>22-29-9</t>
  </si>
  <si>
    <t>სრფ 6.1-164</t>
  </si>
  <si>
    <t>22-25-7</t>
  </si>
  <si>
    <t>22-29-11</t>
  </si>
  <si>
    <t>სრფ 6.1-167</t>
  </si>
  <si>
    <t>22-25-8</t>
  </si>
  <si>
    <t xml:space="preserve">არმატურა A500c Ø10 mm  / Reinforcement A500c Ø10 mm </t>
  </si>
  <si>
    <t xml:space="preserve">არმატურა A500c Ø10 mm  / ReinforcementA500c Ø10 mm </t>
  </si>
  <si>
    <t>30-51-3</t>
  </si>
  <si>
    <t>სხვა მანქანები /  Other machinery</t>
  </si>
  <si>
    <t>ბიტუმი / Bitumen</t>
  </si>
  <si>
    <t>სრფ 4.1-520</t>
  </si>
  <si>
    <t>ცემენტის ხსნარი / Cement solution</t>
  </si>
  <si>
    <t>სრფ 4.1-367</t>
  </si>
  <si>
    <t>ნაგებობის გარე კედლების დამუშავება ბიტუმით
Outlet structure  walls processing with bitumen</t>
  </si>
  <si>
    <t>ჩობალი Ø200  (1ცალი 15 სმ)
Ringseal Ø200 (1peaces 15 cm)</t>
  </si>
  <si>
    <t>პოლიეთილენის სადრენაჟე მილის მოწყობა HDPE100 PN4 D=50მმ (1 ცალი 15 სმ) / Polyethylene drainage pipe arrangement HDPE100 PN4 D = 50 mm (1 pcs 15 cm)</t>
  </si>
  <si>
    <t>1</t>
  </si>
  <si>
    <t>მანქანა-მექანიზმები / Machinery-equipment</t>
  </si>
  <si>
    <t>მასალა / Material</t>
  </si>
  <si>
    <t>ვანტუზის მოწყობა 150 მმ  PN 16
AIR VALVE  150 mm  PN 16</t>
  </si>
  <si>
    <t>კალკ. 1</t>
  </si>
  <si>
    <t>კალკულაცია / Calculation   1</t>
  </si>
  <si>
    <t>ურდულის ჭა ვანტუზით და დამცლელით</t>
  </si>
  <si>
    <t>კალკულაცია / Calculation   2</t>
  </si>
  <si>
    <t>კალკულაცია / Calculation   3</t>
  </si>
  <si>
    <t xml:space="preserve">განშტოების ჭა
BRANCH GATE VALVE </t>
  </si>
  <si>
    <t xml:space="preserve">ურდულის ჭა ვანტუზით და დამცლელით
Gate valve with air valve and discarge </t>
  </si>
  <si>
    <t>კალკ. 2</t>
  </si>
  <si>
    <t>კალკ. 3</t>
  </si>
  <si>
    <t>მონოლითური რკ/ბეტონის ნაგებობის გადახურვის ფილის მოწყობა, ბეტონი B22.5 W6 F100
Monolitic reinforced concrete for  slab, concrete B22.5 W6 F100</t>
  </si>
  <si>
    <t xml:space="preserve">არმატურა A500c Ø12 mm  / ReinforcementA500c Ø12 mm </t>
  </si>
  <si>
    <t xml:space="preserve">არმატურა A500c Ø12 mm  / Reinforcement A500c Ø12 mm </t>
  </si>
  <si>
    <t>41-7-7</t>
  </si>
  <si>
    <t>შრომის დანახარჯი /Labour costs</t>
  </si>
  <si>
    <t>სხვა მანქანები /Other machinery</t>
  </si>
  <si>
    <t>მასალები: /Materials:</t>
  </si>
  <si>
    <t>სამმუშტა რეზინი /Waterstop</t>
  </si>
  <si>
    <t>გრძ.მ/
meter</t>
  </si>
  <si>
    <t>სხვა მასალები /Other materials</t>
  </si>
  <si>
    <t>სამმუშტა რეზინის მოწყობა ძირსა და კედლებს შორის / Waterstop arrangement  between  bottom and the walls</t>
  </si>
  <si>
    <t>100 გრძ.მ
/meter</t>
  </si>
  <si>
    <t>ფოლადის პეპელას ტიპის ურდული  D=600 mm / Steel butterfly valve arrangement D=600 mm</t>
  </si>
  <si>
    <t>ფოლადის პეპელას ტიპის ურდულის მოწყობა D=600 mm/Steel butterfly valve arrangement D=600 mm</t>
  </si>
  <si>
    <t>ფოლადის მილტუჩის მოწყობა / Steel Flange arrangement D=600 mm</t>
  </si>
  <si>
    <t>ფოლადის მილტუჩი / Steel flangeD=600 mm</t>
  </si>
  <si>
    <t>სადემონტაჟო ქურო D=600მმ
Dismantling joint D=600mm</t>
  </si>
  <si>
    <t>9</t>
  </si>
  <si>
    <t>ურდულის საყრდენის მოწყობა (ბეტონი B15)
Support for gate valve concrete B15</t>
  </si>
  <si>
    <t>19</t>
  </si>
  <si>
    <t>ჩობალი Ø800 მმ  (2 ცალი 25 სმ)
Ringseal Ø800 mm (2 peaces 25 cm)</t>
  </si>
  <si>
    <t>ჩობალი Ø350  (2 ცალი 25 სმ)
Ringseal Ø350 (2 peaces 25 cm)</t>
  </si>
  <si>
    <r>
      <t>ფოლადის მუხლი α=45º d=700 მმ δ=6.3მმ/
 Steel elbow  α=45º d=700mm δ=6.3mm</t>
    </r>
    <r>
      <rPr>
        <sz val="10"/>
        <color rgb="FFFF0000"/>
        <rFont val="AcadNusx"/>
      </rPr>
      <t/>
    </r>
  </si>
  <si>
    <t>ფოლადის გადამყვანი D=600-700 მმ
steel reducer D=600-700 mm</t>
  </si>
  <si>
    <t>22-29-8</t>
  </si>
  <si>
    <t>ფოლადის მილტუჩი / Steel flangeD=300 mm</t>
  </si>
  <si>
    <t>სრფ 6.1-163</t>
  </si>
  <si>
    <t>22-25-6</t>
  </si>
  <si>
    <t>ფოლადის  ურდული  D=300 mm / Steel valve arrangement D=300 mm</t>
  </si>
  <si>
    <t>სრფ 6.1-257</t>
  </si>
  <si>
    <t>სადემონტაჟო ქურო D=300მმ
Dismantling joint D=300mm</t>
  </si>
  <si>
    <t>სადემონტაჟო ქურო D=300მმ PN16
Dismantling joint D=300mm PN16</t>
  </si>
  <si>
    <t>ფოლადის ურდულის მოწყობა D=300 mm PN16/ Steel valve arrangement D=300 mm PN16</t>
  </si>
  <si>
    <t>ფოლადის მილტუჩის მოწყობა PN16/ Steel Flange arrangement D=300 mm PN16</t>
  </si>
  <si>
    <t>გამირის მოწყობა (კიბე)
Deck ladder</t>
  </si>
  <si>
    <t>კიბის კონსტრუქცია /Ladder construction</t>
  </si>
  <si>
    <t xml:space="preserve">დარჩენილი III ჯგ. გრუნტის დამუშავება ექსკავატორით დატვირთვა ა/თვითმცლელებში და ტრანსპორტირება 15 კმ-ზე /
Rest of Class 3 soil bucket excavator, loading on dump trucks and transportation over 15km </t>
  </si>
  <si>
    <t xml:space="preserve">ფოლადის მილის მოწყობა D=32 მმ / Steel pipe arrangement D=32 mm </t>
  </si>
  <si>
    <t>ფოლადის მილი D=32 mm / Steel pipeD=32 mm</t>
  </si>
  <si>
    <t>ფოლადის მილტუჩის მოწყობა / Steel Flange arrangement D=32 mm</t>
  </si>
  <si>
    <t>ფოლადის მილტუჩი / Steel flangeD=32 mm</t>
  </si>
  <si>
    <t>ფოლადის ურდულის მოწყობა D=32 mm/Steel valve arrangement D=32 mm</t>
  </si>
  <si>
    <t>ფოლადის  ურდული  D=32 mm / Steel valve arrangement D=32 mm</t>
  </si>
  <si>
    <t>სადემონტაჟო ქურო D=32 მმ
Dismantling joint D=32 mm</t>
  </si>
  <si>
    <r>
      <t>ფოლადის მუხლი α=45º d=32 მმ/
 Steel elbow  α=45º d=32 mm</t>
    </r>
    <r>
      <rPr>
        <sz val="10"/>
        <color rgb="FFFF0000"/>
        <rFont val="AcadNusx"/>
      </rPr>
      <t/>
    </r>
  </si>
  <si>
    <t>ფოლადის გადამყვანი D=32-20 მმ
steel reducer D=32-20 mm</t>
  </si>
  <si>
    <t xml:space="preserve">ჩობალი 
Ringseal </t>
  </si>
  <si>
    <t>ჩობალი Ø32 მმ  (1 ცალი 20 სმ)
Ringseal Ø32 mm (1 peaces 20 cm)</t>
  </si>
  <si>
    <t>ჩობალი Ø50 მმ  (1 ცალი 20 სმ)
Ringseal Ø50 mm (1 peaces 20 cm)</t>
  </si>
  <si>
    <t xml:space="preserve">ჭის გადახურვა (მრგვალი თავსახური) / Chamber covering </t>
  </si>
  <si>
    <t>შრომის დანახარჯი</t>
  </si>
  <si>
    <t>კაც/სთ</t>
  </si>
  <si>
    <t>სხვა მანქანები</t>
  </si>
  <si>
    <t>ლარი</t>
  </si>
  <si>
    <t>მატერიალური რესურსები</t>
  </si>
  <si>
    <t>ც</t>
  </si>
  <si>
    <t>1000 m</t>
  </si>
  <si>
    <t>23-23</t>
  </si>
  <si>
    <t>სრფ. 4.1-364</t>
  </si>
  <si>
    <t>ცემენტის ხსნარი</t>
  </si>
  <si>
    <r>
      <t>მ</t>
    </r>
    <r>
      <rPr>
        <vertAlign val="superscript"/>
        <sz val="12"/>
        <rFont val="Sylfaen"/>
        <family val="1"/>
      </rPr>
      <t>3</t>
    </r>
  </si>
  <si>
    <t>სრფ. 4.1-126</t>
  </si>
  <si>
    <t>თუჯის მრგვალი ჩარჩო ხუფი</t>
  </si>
  <si>
    <t>8</t>
  </si>
  <si>
    <t>კონტრაქტორი</t>
  </si>
  <si>
    <t>რუსთავის წყალი</t>
  </si>
  <si>
    <t>შემსრულებელი</t>
  </si>
  <si>
    <r>
      <rPr>
        <b/>
        <sz val="11"/>
        <color theme="1"/>
        <rFont val="AcadNusx"/>
      </rPr>
      <t>სულ ჯამი</t>
    </r>
    <r>
      <rPr>
        <b/>
        <sz val="11"/>
        <color theme="1"/>
        <rFont val="Sylfaen"/>
        <family val="1"/>
      </rPr>
      <t xml:space="preserve"> / Grand Total</t>
    </r>
  </si>
  <si>
    <r>
      <rPr>
        <b/>
        <sz val="11"/>
        <color theme="1"/>
        <rFont val="AcadNusx"/>
      </rPr>
      <t>დღგ</t>
    </r>
    <r>
      <rPr>
        <b/>
        <sz val="11"/>
        <color theme="1"/>
        <rFont val="Sylfaen"/>
        <family val="1"/>
      </rPr>
      <t xml:space="preserve"> / VAT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</si>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</sst>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L_a_r_i_-;\-* #,##0.00\ _L_a_r_i_-;_-* &quot;-&quot;??\ _L_a_r_i_-;_-@_-"/>
    <numFmt numFmtId="165" formatCode="0.0%"/>
    <numFmt numFmtId="166" formatCode="0.000"/>
    <numFmt numFmtId="167" formatCode="0.0000"/>
    <numFmt numFmtId="168" formatCode="#,##0.000"/>
    <numFmt numFmtId="169" formatCode="0.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0"/>
      <name val="Arial"/>
      <family val="2"/>
      <charset val="204"/>
    </font>
    <font>
      <sz val="8"/>
      <name val="Sylfaen"/>
      <family val="1"/>
    </font>
    <font>
      <b/>
      <sz val="11"/>
      <name val="AcadNusx"/>
    </font>
    <font>
      <sz val="8"/>
      <name val="AcadNusx"/>
    </font>
    <font>
      <sz val="10"/>
      <name val="AcadNusx"/>
    </font>
    <font>
      <b/>
      <sz val="10"/>
      <name val="AcadNusx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sz val="10"/>
      <name val="Sylfaen"/>
      <family val="1"/>
      <charset val="204"/>
    </font>
    <font>
      <sz val="10"/>
      <color rgb="FFFF0000"/>
      <name val="AcadNusx"/>
    </font>
    <font>
      <sz val="12"/>
      <name val="Sylfaen"/>
      <family val="1"/>
      <charset val="204"/>
    </font>
    <font>
      <vertAlign val="superscript"/>
      <sz val="12"/>
      <name val="Sylfaen"/>
      <family val="1"/>
    </font>
    <font>
      <b/>
      <sz val="11"/>
      <color theme="1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/>
    </xf>
    <xf numFmtId="0" fontId="8" fillId="3" borderId="0" xfId="2" applyFont="1" applyFill="1" applyBorder="1"/>
    <xf numFmtId="0" fontId="8" fillId="5" borderId="1" xfId="3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/>
    </xf>
    <xf numFmtId="43" fontId="10" fillId="5" borderId="1" xfId="4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3" fontId="8" fillId="0" borderId="1" xfId="4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10" fillId="5" borderId="1" xfId="3" applyFont="1" applyFill="1" applyBorder="1" applyAlignment="1">
      <alignment horizontal="center" vertical="center"/>
    </xf>
    <xf numFmtId="165" fontId="10" fillId="5" borderId="1" xfId="2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" fontId="10" fillId="5" borderId="1" xfId="2" applyNumberFormat="1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 wrapText="1"/>
    </xf>
    <xf numFmtId="43" fontId="10" fillId="5" borderId="1" xfId="4" applyNumberFormat="1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/>
    <xf numFmtId="0" fontId="10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2" applyNumberFormat="1" applyFont="1" applyFill="1" applyBorder="1" applyAlignment="1">
      <alignment vertical="center" wrapText="1"/>
    </xf>
    <xf numFmtId="166" fontId="10" fillId="3" borderId="1" xfId="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/>
    <xf numFmtId="49" fontId="10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7" fontId="8" fillId="0" borderId="1" xfId="2" applyNumberFormat="1" applyFont="1" applyFill="1" applyBorder="1" applyAlignment="1">
      <alignment horizontal="center" vertical="center"/>
    </xf>
    <xf numFmtId="0" fontId="10" fillId="5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8" fillId="0" borderId="0" xfId="2" applyFont="1" applyFill="1"/>
    <xf numFmtId="0" fontId="8" fillId="3" borderId="0" xfId="2" applyFont="1" applyFill="1"/>
    <xf numFmtId="0" fontId="8" fillId="0" borderId="0" xfId="0" applyFont="1" applyFill="1" applyAlignment="1">
      <alignment vertical="center" wrapText="1"/>
    </xf>
    <xf numFmtId="0" fontId="8" fillId="0" borderId="0" xfId="2" applyFont="1"/>
    <xf numFmtId="0" fontId="8" fillId="0" borderId="0" xfId="0" applyFont="1" applyFill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0" fontId="21" fillId="2" borderId="1" xfId="2" applyFont="1" applyFill="1" applyBorder="1" applyAlignment="1">
      <alignment horizontal="center" vertical="center"/>
    </xf>
    <xf numFmtId="2" fontId="21" fillId="2" borderId="1" xfId="2" applyNumberFormat="1" applyFont="1" applyFill="1" applyBorder="1" applyAlignment="1">
      <alignment horizontal="center" vertical="center"/>
    </xf>
    <xf numFmtId="2" fontId="21" fillId="2" borderId="7" xfId="2" applyNumberFormat="1" applyFont="1" applyFill="1" applyBorder="1" applyAlignment="1">
      <alignment horizontal="center" vertical="center"/>
    </xf>
    <xf numFmtId="0" fontId="21" fillId="2" borderId="0" xfId="2" applyFont="1" applyFill="1" applyAlignment="1">
      <alignment vertical="center"/>
    </xf>
    <xf numFmtId="0" fontId="21" fillId="2" borderId="6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vertical="center" wrapText="1"/>
    </xf>
    <xf numFmtId="169" fontId="21" fillId="2" borderId="1" xfId="2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vertical="center" wrapText="1"/>
    </xf>
    <xf numFmtId="0" fontId="19" fillId="6" borderId="1" xfId="2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4" borderId="1" xfId="2" applyFont="1" applyFill="1" applyBorder="1" applyAlignment="1">
      <alignment vertical="center"/>
    </xf>
    <xf numFmtId="0" fontId="8" fillId="5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10" fillId="5" borderId="1" xfId="2" applyFont="1" applyFill="1" applyBorder="1" applyAlignment="1">
      <alignment vertical="center"/>
    </xf>
    <xf numFmtId="164" fontId="10" fillId="5" borderId="1" xfId="2" applyNumberFormat="1" applyFont="1" applyFill="1" applyBorder="1" applyAlignment="1">
      <alignment vertical="center"/>
    </xf>
    <xf numFmtId="0" fontId="0" fillId="0" borderId="1" xfId="0" applyFill="1" applyBorder="1"/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/>
    <xf numFmtId="0" fontId="10" fillId="0" borderId="0" xfId="2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 wrapText="1"/>
    </xf>
    <xf numFmtId="43" fontId="0" fillId="0" borderId="1" xfId="0" applyNumberFormat="1" applyFill="1" applyBorder="1"/>
    <xf numFmtId="43" fontId="8" fillId="0" borderId="0" xfId="2" applyNumberFormat="1" applyFont="1" applyFill="1" applyBorder="1" applyAlignment="1">
      <alignment vertical="center"/>
    </xf>
    <xf numFmtId="43" fontId="0" fillId="0" borderId="0" xfId="0" applyNumberFormat="1"/>
    <xf numFmtId="0" fontId="6" fillId="0" borderId="1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 shrinkToFit="1"/>
    </xf>
    <xf numFmtId="0" fontId="6" fillId="0" borderId="0" xfId="3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</cellXfs>
  <cellStyles count="5">
    <cellStyle name="Comma 2" xfId="4"/>
    <cellStyle name="Comma 3" xfId="1"/>
    <cellStyle name="Normal" xfId="0" builtinId="0"/>
    <cellStyle name="Normal 2" xfId="2"/>
    <cellStyle name="Обычный_Лист1" xf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01"/>
  <sheetViews>
    <sheetView tabSelected="1" topLeftCell="A76" zoomScale="70" zoomScaleNormal="70" zoomScaleSheetLayoutView="70" workbookViewId="0">
      <selection activeCell="D104" sqref="D104"/>
    </sheetView>
  </sheetViews>
  <sheetFormatPr defaultColWidth="8.85546875" defaultRowHeight="15" x14ac:dyDescent="0.25"/>
  <cols>
    <col min="1" max="1" width="5.28515625" style="3" customWidth="1"/>
    <col min="2" max="2" width="45.7109375" style="1" customWidth="1"/>
    <col min="3" max="3" width="16.5703125" style="1" customWidth="1"/>
    <col min="4" max="4" width="14.140625" style="3" customWidth="1"/>
    <col min="5" max="5" width="14.140625" style="6" customWidth="1"/>
    <col min="6" max="6" width="10.7109375" style="3" customWidth="1"/>
    <col min="7" max="7" width="9.42578125" style="1" bestFit="1" customWidth="1"/>
    <col min="8" max="8" width="17.5703125" style="1" bestFit="1" customWidth="1"/>
    <col min="9" max="9" width="8.85546875" style="1"/>
    <col min="10" max="10" width="15.42578125" style="1" bestFit="1" customWidth="1"/>
    <col min="11" max="11" width="8.85546875" style="1"/>
    <col min="12" max="12" width="21.7109375" style="1" customWidth="1"/>
    <col min="13" max="13" width="22.42578125" style="1" bestFit="1" customWidth="1"/>
    <col min="14" max="14" width="30.7109375" style="1" customWidth="1"/>
    <col min="15" max="16384" width="8.85546875" style="1"/>
  </cols>
  <sheetData>
    <row r="1" spans="1:14" s="8" customFormat="1" ht="46.5" customHeight="1" x14ac:dyDescent="0.25">
      <c r="A1" s="143" t="s">
        <v>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s="8" customFormat="1" ht="50.25" customHeight="1" x14ac:dyDescent="0.25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s="9" customFormat="1" ht="54.6" customHeight="1" x14ac:dyDescent="0.25">
      <c r="A3" s="145" t="s">
        <v>8</v>
      </c>
      <c r="B3" s="145" t="s">
        <v>10</v>
      </c>
      <c r="C3" s="147" t="s">
        <v>11</v>
      </c>
      <c r="D3" s="145" t="s">
        <v>12</v>
      </c>
      <c r="E3" s="149" t="s">
        <v>13</v>
      </c>
      <c r="F3" s="150"/>
      <c r="G3" s="151" t="s">
        <v>14</v>
      </c>
      <c r="H3" s="152"/>
      <c r="I3" s="149" t="s">
        <v>15</v>
      </c>
      <c r="J3" s="150"/>
      <c r="K3" s="149" t="s">
        <v>16</v>
      </c>
      <c r="L3" s="150"/>
      <c r="M3" s="153" t="s">
        <v>17</v>
      </c>
      <c r="N3" s="142" t="s">
        <v>266</v>
      </c>
    </row>
    <row r="4" spans="1:14" s="9" customFormat="1" ht="60" x14ac:dyDescent="0.25">
      <c r="A4" s="146"/>
      <c r="B4" s="146"/>
      <c r="C4" s="148"/>
      <c r="D4" s="146"/>
      <c r="E4" s="10" t="s">
        <v>18</v>
      </c>
      <c r="F4" s="10" t="s">
        <v>19</v>
      </c>
      <c r="G4" s="10" t="s">
        <v>20</v>
      </c>
      <c r="H4" s="10" t="s">
        <v>19</v>
      </c>
      <c r="I4" s="10" t="s">
        <v>20</v>
      </c>
      <c r="J4" s="10" t="s">
        <v>19</v>
      </c>
      <c r="K4" s="10" t="s">
        <v>20</v>
      </c>
      <c r="L4" s="10" t="s">
        <v>19</v>
      </c>
      <c r="M4" s="154"/>
      <c r="N4" s="142"/>
    </row>
    <row r="5" spans="1:14" s="9" customFormat="1" ht="15.75" x14ac:dyDescent="0.25">
      <c r="A5" s="11">
        <v>1</v>
      </c>
      <c r="B5" s="11">
        <v>2</v>
      </c>
      <c r="C5" s="12">
        <v>3</v>
      </c>
      <c r="D5" s="13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21">
        <v>13</v>
      </c>
      <c r="N5" s="121">
        <v>14</v>
      </c>
    </row>
    <row r="6" spans="1:14" s="19" customFormat="1" x14ac:dyDescent="0.25">
      <c r="A6" s="14"/>
      <c r="B6" s="15"/>
      <c r="C6" s="14"/>
      <c r="D6" s="16"/>
      <c r="E6" s="14"/>
      <c r="F6" s="14"/>
      <c r="G6" s="17"/>
      <c r="H6" s="18"/>
      <c r="I6" s="17"/>
      <c r="J6" s="18"/>
      <c r="K6" s="17"/>
      <c r="L6" s="18"/>
      <c r="M6" s="17"/>
      <c r="N6" s="127"/>
    </row>
    <row r="7" spans="1:14" s="27" customFormat="1" ht="60" x14ac:dyDescent="0.3">
      <c r="A7" s="20">
        <v>1</v>
      </c>
      <c r="B7" s="21" t="s">
        <v>4</v>
      </c>
      <c r="C7" s="22" t="s">
        <v>24</v>
      </c>
      <c r="D7" s="23" t="s">
        <v>25</v>
      </c>
      <c r="E7" s="23"/>
      <c r="F7" s="7">
        <f>360/10000</f>
        <v>3.5999999999999997E-2</v>
      </c>
      <c r="G7" s="24"/>
      <c r="H7" s="25"/>
      <c r="I7" s="24"/>
      <c r="J7" s="26"/>
      <c r="K7" s="24"/>
      <c r="L7" s="25"/>
      <c r="M7" s="26"/>
      <c r="N7" s="24" t="s">
        <v>264</v>
      </c>
    </row>
    <row r="8" spans="1:14" s="53" customFormat="1" ht="30" x14ac:dyDescent="0.3">
      <c r="A8" s="37"/>
      <c r="B8" s="49" t="s">
        <v>26</v>
      </c>
      <c r="C8" s="50" t="s">
        <v>27</v>
      </c>
      <c r="D8" s="37" t="s">
        <v>28</v>
      </c>
      <c r="E8" s="51">
        <v>1.78</v>
      </c>
      <c r="F8" s="52">
        <f>E8*F7</f>
        <v>6.4079999999999998E-2</v>
      </c>
      <c r="G8" s="52"/>
      <c r="H8" s="52"/>
      <c r="I8" s="52"/>
      <c r="J8" s="52"/>
      <c r="K8" s="52"/>
      <c r="L8" s="48"/>
      <c r="M8" s="52"/>
      <c r="N8" s="52" t="s">
        <v>264</v>
      </c>
    </row>
    <row r="9" spans="1:14" s="27" customFormat="1" ht="45" x14ac:dyDescent="0.3">
      <c r="A9" s="20">
        <v>2</v>
      </c>
      <c r="B9" s="21" t="s">
        <v>88</v>
      </c>
      <c r="C9" s="22" t="s">
        <v>89</v>
      </c>
      <c r="D9" s="20" t="s">
        <v>90</v>
      </c>
      <c r="E9" s="7"/>
      <c r="F9" s="72">
        <f>1/100</f>
        <v>0.01</v>
      </c>
      <c r="G9" s="24"/>
      <c r="H9" s="25"/>
      <c r="I9" s="24"/>
      <c r="J9" s="26"/>
      <c r="K9" s="24"/>
      <c r="L9" s="25"/>
      <c r="M9" s="26"/>
      <c r="N9" s="24" t="s">
        <v>264</v>
      </c>
    </row>
    <row r="10" spans="1:14" s="53" customFormat="1" ht="30" x14ac:dyDescent="0.3">
      <c r="A10" s="37"/>
      <c r="B10" s="49" t="s">
        <v>34</v>
      </c>
      <c r="C10" s="37"/>
      <c r="D10" s="37" t="s">
        <v>35</v>
      </c>
      <c r="E10" s="51">
        <f>12.1+8.6</f>
        <v>20.7</v>
      </c>
      <c r="F10" s="52">
        <f>E10*F9</f>
        <v>0.20699999999999999</v>
      </c>
      <c r="G10" s="52"/>
      <c r="H10" s="48"/>
      <c r="I10" s="52"/>
      <c r="J10" s="52"/>
      <c r="K10" s="52"/>
      <c r="L10" s="48"/>
      <c r="M10" s="52"/>
      <c r="N10" s="52" t="s">
        <v>264</v>
      </c>
    </row>
    <row r="11" spans="1:14" s="53" customFormat="1" ht="45" x14ac:dyDescent="0.3">
      <c r="A11" s="37"/>
      <c r="B11" s="49" t="s">
        <v>91</v>
      </c>
      <c r="C11" s="50" t="s">
        <v>92</v>
      </c>
      <c r="D11" s="37" t="s">
        <v>28</v>
      </c>
      <c r="E11" s="51">
        <v>1.81</v>
      </c>
      <c r="F11" s="52">
        <f>E11*F9</f>
        <v>1.8100000000000002E-2</v>
      </c>
      <c r="G11" s="52"/>
      <c r="H11" s="52"/>
      <c r="I11" s="52"/>
      <c r="J11" s="52"/>
      <c r="K11" s="52"/>
      <c r="L11" s="48"/>
      <c r="M11" s="52"/>
      <c r="N11" s="52" t="s">
        <v>264</v>
      </c>
    </row>
    <row r="12" spans="1:14" s="53" customFormat="1" ht="30" x14ac:dyDescent="0.3">
      <c r="A12" s="37"/>
      <c r="B12" s="49" t="s">
        <v>93</v>
      </c>
      <c r="C12" s="50" t="s">
        <v>94</v>
      </c>
      <c r="D12" s="37" t="s">
        <v>28</v>
      </c>
      <c r="E12" s="51">
        <v>4.7</v>
      </c>
      <c r="F12" s="52">
        <f>E12*F9</f>
        <v>4.7E-2</v>
      </c>
      <c r="G12" s="52"/>
      <c r="H12" s="52"/>
      <c r="I12" s="52"/>
      <c r="J12" s="52"/>
      <c r="K12" s="52"/>
      <c r="L12" s="48"/>
      <c r="M12" s="52"/>
      <c r="N12" s="52" t="s">
        <v>264</v>
      </c>
    </row>
    <row r="13" spans="1:14" s="53" customFormat="1" x14ac:dyDescent="0.3">
      <c r="A13" s="37"/>
      <c r="B13" s="74" t="s">
        <v>44</v>
      </c>
      <c r="C13" s="50"/>
      <c r="D13" s="37" t="s">
        <v>45</v>
      </c>
      <c r="E13" s="51">
        <v>0.42</v>
      </c>
      <c r="F13" s="52">
        <f>E13*F9</f>
        <v>4.1999999999999997E-3</v>
      </c>
      <c r="G13" s="52"/>
      <c r="H13" s="52"/>
      <c r="I13" s="52"/>
      <c r="J13" s="52"/>
      <c r="K13" s="52"/>
      <c r="L13" s="48"/>
      <c r="M13" s="52"/>
      <c r="N13" s="52" t="s">
        <v>264</v>
      </c>
    </row>
    <row r="14" spans="1:14" s="27" customFormat="1" ht="75" x14ac:dyDescent="0.3">
      <c r="A14" s="20">
        <v>3</v>
      </c>
      <c r="B14" s="21" t="s">
        <v>0</v>
      </c>
      <c r="C14" s="22" t="s">
        <v>32</v>
      </c>
      <c r="D14" s="54" t="s">
        <v>33</v>
      </c>
      <c r="E14" s="23"/>
      <c r="F14" s="7">
        <f>295/1000</f>
        <v>0.29499999999999998</v>
      </c>
      <c r="G14" s="24"/>
      <c r="H14" s="25"/>
      <c r="I14" s="24"/>
      <c r="J14" s="26"/>
      <c r="K14" s="24"/>
      <c r="L14" s="25"/>
      <c r="M14" s="26"/>
      <c r="N14" s="24" t="s">
        <v>264</v>
      </c>
    </row>
    <row r="15" spans="1:14" s="53" customFormat="1" ht="30" x14ac:dyDescent="0.3">
      <c r="A15" s="37"/>
      <c r="B15" s="49" t="s">
        <v>29</v>
      </c>
      <c r="C15" s="50" t="s">
        <v>30</v>
      </c>
      <c r="D15" s="37" t="s">
        <v>31</v>
      </c>
      <c r="E15" s="51">
        <f>19.1+14.4</f>
        <v>33.5</v>
      </c>
      <c r="F15" s="52">
        <f>E15*F14</f>
        <v>9.8825000000000003</v>
      </c>
      <c r="G15" s="52"/>
      <c r="H15" s="52"/>
      <c r="I15" s="52"/>
      <c r="J15" s="52"/>
      <c r="K15" s="52"/>
      <c r="L15" s="48"/>
      <c r="M15" s="52"/>
      <c r="N15" s="52" t="s">
        <v>264</v>
      </c>
    </row>
    <row r="16" spans="1:14" s="27" customFormat="1" ht="90" x14ac:dyDescent="0.3">
      <c r="A16" s="20">
        <v>4</v>
      </c>
      <c r="B16" s="21" t="s">
        <v>73</v>
      </c>
      <c r="C16" s="22" t="s">
        <v>61</v>
      </c>
      <c r="D16" s="23" t="s">
        <v>33</v>
      </c>
      <c r="E16" s="23"/>
      <c r="F16" s="7">
        <f>5/1000*3</f>
        <v>1.4999999999999999E-2</v>
      </c>
      <c r="G16" s="24"/>
      <c r="H16" s="25"/>
      <c r="I16" s="24"/>
      <c r="J16" s="26"/>
      <c r="K16" s="24"/>
      <c r="L16" s="25"/>
      <c r="M16" s="26"/>
      <c r="N16" s="24" t="s">
        <v>264</v>
      </c>
    </row>
    <row r="17" spans="1:16" s="53" customFormat="1" ht="30" x14ac:dyDescent="0.3">
      <c r="A17" s="75"/>
      <c r="B17" s="76" t="s">
        <v>34</v>
      </c>
      <c r="C17" s="75"/>
      <c r="D17" s="75" t="s">
        <v>58</v>
      </c>
      <c r="E17" s="77">
        <v>13.2</v>
      </c>
      <c r="F17" s="78">
        <f>E17*F16</f>
        <v>0.19799999999999998</v>
      </c>
      <c r="G17" s="78"/>
      <c r="H17" s="79"/>
      <c r="I17" s="78"/>
      <c r="J17" s="78"/>
      <c r="K17" s="78"/>
      <c r="L17" s="79"/>
      <c r="M17" s="78"/>
      <c r="N17" s="78" t="s">
        <v>264</v>
      </c>
    </row>
    <row r="18" spans="1:16" s="53" customFormat="1" ht="30" x14ac:dyDescent="0.3">
      <c r="A18" s="75"/>
      <c r="B18" s="76" t="s">
        <v>36</v>
      </c>
      <c r="C18" s="80" t="s">
        <v>37</v>
      </c>
      <c r="D18" s="75" t="s">
        <v>31</v>
      </c>
      <c r="E18" s="77">
        <v>29.5</v>
      </c>
      <c r="F18" s="78">
        <f>E18*F16</f>
        <v>0.4425</v>
      </c>
      <c r="G18" s="78"/>
      <c r="H18" s="78"/>
      <c r="I18" s="78"/>
      <c r="J18" s="78"/>
      <c r="K18" s="78"/>
      <c r="L18" s="79"/>
      <c r="M18" s="78"/>
      <c r="N18" s="78" t="s">
        <v>264</v>
      </c>
    </row>
    <row r="19" spans="1:16" s="62" customFormat="1" x14ac:dyDescent="0.25">
      <c r="A19" s="75"/>
      <c r="B19" s="74" t="s">
        <v>44</v>
      </c>
      <c r="C19" s="80"/>
      <c r="D19" s="75" t="s">
        <v>45</v>
      </c>
      <c r="E19" s="77">
        <v>2.1</v>
      </c>
      <c r="F19" s="78">
        <f>E19*F16</f>
        <v>3.15E-2</v>
      </c>
      <c r="G19" s="78"/>
      <c r="H19" s="78"/>
      <c r="I19" s="78"/>
      <c r="J19" s="78"/>
      <c r="K19" s="78"/>
      <c r="L19" s="79"/>
      <c r="M19" s="78"/>
      <c r="N19" s="78" t="s">
        <v>264</v>
      </c>
      <c r="O19" s="61"/>
      <c r="P19" s="61"/>
    </row>
    <row r="20" spans="1:16" s="70" customFormat="1" ht="30" x14ac:dyDescent="0.25">
      <c r="A20" s="75"/>
      <c r="B20" s="74" t="s">
        <v>62</v>
      </c>
      <c r="C20" s="80" t="s">
        <v>63</v>
      </c>
      <c r="D20" s="75" t="s">
        <v>45</v>
      </c>
      <c r="E20" s="77">
        <v>1950</v>
      </c>
      <c r="F20" s="78">
        <f>E20*F16</f>
        <v>29.25</v>
      </c>
      <c r="G20" s="78"/>
      <c r="H20" s="78"/>
      <c r="I20" s="78"/>
      <c r="J20" s="78"/>
      <c r="K20" s="78"/>
      <c r="L20" s="79"/>
      <c r="M20" s="78"/>
      <c r="N20" s="78" t="s">
        <v>264</v>
      </c>
      <c r="O20" s="69"/>
      <c r="P20" s="69"/>
    </row>
    <row r="21" spans="1:16" s="27" customFormat="1" ht="75" x14ac:dyDescent="0.3">
      <c r="A21" s="20">
        <v>5</v>
      </c>
      <c r="B21" s="21" t="s">
        <v>1</v>
      </c>
      <c r="C21" s="22" t="s">
        <v>38</v>
      </c>
      <c r="D21" s="23" t="s">
        <v>33</v>
      </c>
      <c r="E21" s="23"/>
      <c r="F21" s="7">
        <f>2877.4/1000</f>
        <v>2.8774000000000002</v>
      </c>
      <c r="G21" s="24"/>
      <c r="H21" s="25"/>
      <c r="I21" s="24"/>
      <c r="J21" s="26"/>
      <c r="K21" s="24"/>
      <c r="L21" s="25"/>
      <c r="M21" s="26"/>
      <c r="N21" s="24" t="s">
        <v>264</v>
      </c>
    </row>
    <row r="22" spans="1:16" s="53" customFormat="1" ht="30" x14ac:dyDescent="0.3">
      <c r="A22" s="37"/>
      <c r="B22" s="49" t="s">
        <v>34</v>
      </c>
      <c r="C22" s="37"/>
      <c r="D22" s="37" t="s">
        <v>35</v>
      </c>
      <c r="E22" s="51">
        <v>14.2</v>
      </c>
      <c r="F22" s="52">
        <f>E22*F21</f>
        <v>40.859079999999999</v>
      </c>
      <c r="G22" s="52"/>
      <c r="H22" s="48"/>
      <c r="I22" s="52"/>
      <c r="J22" s="52"/>
      <c r="K22" s="52"/>
      <c r="L22" s="48"/>
      <c r="M22" s="52"/>
      <c r="N22" s="52" t="s">
        <v>264</v>
      </c>
    </row>
    <row r="23" spans="1:16" s="53" customFormat="1" ht="30" x14ac:dyDescent="0.3">
      <c r="A23" s="37"/>
      <c r="B23" s="49" t="s">
        <v>36</v>
      </c>
      <c r="C23" s="50" t="s">
        <v>37</v>
      </c>
      <c r="D23" s="37" t="s">
        <v>28</v>
      </c>
      <c r="E23" s="51">
        <v>30.8</v>
      </c>
      <c r="F23" s="52">
        <f>E23*F21</f>
        <v>88.623920000000012</v>
      </c>
      <c r="G23" s="52"/>
      <c r="H23" s="52"/>
      <c r="I23" s="52"/>
      <c r="J23" s="52"/>
      <c r="K23" s="52"/>
      <c r="L23" s="48"/>
      <c r="M23" s="52"/>
      <c r="N23" s="52" t="s">
        <v>264</v>
      </c>
    </row>
    <row r="24" spans="1:16" s="27" customFormat="1" ht="60" x14ac:dyDescent="0.3">
      <c r="A24" s="20">
        <v>6</v>
      </c>
      <c r="B24" s="21" t="s">
        <v>86</v>
      </c>
      <c r="C24" s="22"/>
      <c r="D24" s="23" t="s">
        <v>21</v>
      </c>
      <c r="E24" s="23"/>
      <c r="F24" s="7">
        <v>1</v>
      </c>
      <c r="G24" s="24"/>
      <c r="H24" s="25"/>
      <c r="I24" s="24"/>
      <c r="J24" s="26"/>
      <c r="K24" s="24"/>
      <c r="L24" s="25"/>
      <c r="M24" s="26"/>
      <c r="N24" s="24" t="s">
        <v>264</v>
      </c>
    </row>
    <row r="25" spans="1:16" s="53" customFormat="1" ht="30" x14ac:dyDescent="0.3">
      <c r="A25" s="37"/>
      <c r="B25" s="49" t="s">
        <v>34</v>
      </c>
      <c r="C25" s="37"/>
      <c r="D25" s="37" t="s">
        <v>58</v>
      </c>
      <c r="E25" s="51">
        <v>0.94</v>
      </c>
      <c r="F25" s="52">
        <f>E25*F24</f>
        <v>0.94</v>
      </c>
      <c r="G25" s="52"/>
      <c r="H25" s="48"/>
      <c r="I25" s="52"/>
      <c r="J25" s="52"/>
      <c r="K25" s="52"/>
      <c r="L25" s="48"/>
      <c r="M25" s="52"/>
      <c r="N25" s="52" t="s">
        <v>264</v>
      </c>
    </row>
    <row r="26" spans="1:16" s="53" customFormat="1" ht="30" x14ac:dyDescent="0.3">
      <c r="A26" s="37"/>
      <c r="B26" s="64" t="s">
        <v>44</v>
      </c>
      <c r="C26" s="50" t="s">
        <v>85</v>
      </c>
      <c r="D26" s="37" t="s">
        <v>31</v>
      </c>
      <c r="E26" s="51">
        <v>3.78</v>
      </c>
      <c r="F26" s="52">
        <f>E26*F24</f>
        <v>3.78</v>
      </c>
      <c r="G26" s="52"/>
      <c r="H26" s="52"/>
      <c r="I26" s="52"/>
      <c r="J26" s="52"/>
      <c r="K26" s="52"/>
      <c r="L26" s="48"/>
      <c r="M26" s="52"/>
      <c r="N26" s="52" t="s">
        <v>264</v>
      </c>
    </row>
    <row r="27" spans="1:16" s="27" customFormat="1" ht="60" x14ac:dyDescent="0.3">
      <c r="A27" s="20">
        <v>7</v>
      </c>
      <c r="B27" s="21" t="s">
        <v>87</v>
      </c>
      <c r="C27" s="22"/>
      <c r="D27" s="23" t="s">
        <v>43</v>
      </c>
      <c r="E27" s="23"/>
      <c r="F27" s="7">
        <v>0.36</v>
      </c>
      <c r="G27" s="24"/>
      <c r="H27" s="25"/>
      <c r="I27" s="24"/>
      <c r="J27" s="26"/>
      <c r="K27" s="24"/>
      <c r="L27" s="25"/>
      <c r="M27" s="26"/>
      <c r="N27" s="24" t="s">
        <v>264</v>
      </c>
    </row>
    <row r="28" spans="1:16" s="53" customFormat="1" ht="30" x14ac:dyDescent="0.3">
      <c r="A28" s="37"/>
      <c r="B28" s="49" t="s">
        <v>34</v>
      </c>
      <c r="C28" s="37"/>
      <c r="D28" s="37" t="s">
        <v>58</v>
      </c>
      <c r="E28" s="51">
        <v>0.94</v>
      </c>
      <c r="F28" s="52">
        <f>E28*F27</f>
        <v>0.33839999999999998</v>
      </c>
      <c r="G28" s="52"/>
      <c r="H28" s="48"/>
      <c r="I28" s="52"/>
      <c r="J28" s="52"/>
      <c r="K28" s="52"/>
      <c r="L28" s="48"/>
      <c r="M28" s="52"/>
      <c r="N28" s="52" t="s">
        <v>264</v>
      </c>
    </row>
    <row r="29" spans="1:16" s="53" customFormat="1" ht="30" x14ac:dyDescent="0.3">
      <c r="A29" s="37"/>
      <c r="B29" s="64" t="s">
        <v>44</v>
      </c>
      <c r="C29" s="50" t="s">
        <v>85</v>
      </c>
      <c r="D29" s="37" t="s">
        <v>31</v>
      </c>
      <c r="E29" s="51">
        <v>250</v>
      </c>
      <c r="F29" s="52">
        <f>E29*F27</f>
        <v>90</v>
      </c>
      <c r="G29" s="52"/>
      <c r="H29" s="52"/>
      <c r="I29" s="52"/>
      <c r="J29" s="52"/>
      <c r="K29" s="52"/>
      <c r="L29" s="48"/>
      <c r="M29" s="52"/>
      <c r="N29" s="52" t="s">
        <v>264</v>
      </c>
    </row>
    <row r="30" spans="1:16" s="27" customFormat="1" ht="30" x14ac:dyDescent="0.3">
      <c r="A30" s="20">
        <v>8</v>
      </c>
      <c r="B30" s="21" t="s">
        <v>5</v>
      </c>
      <c r="C30" s="22" t="s">
        <v>39</v>
      </c>
      <c r="D30" s="23" t="s">
        <v>33</v>
      </c>
      <c r="E30" s="23"/>
      <c r="F30" s="7">
        <f>216.6/1000</f>
        <v>0.21659999999999999</v>
      </c>
      <c r="G30" s="24"/>
      <c r="H30" s="25"/>
      <c r="I30" s="24"/>
      <c r="J30" s="26"/>
      <c r="K30" s="24"/>
      <c r="L30" s="25"/>
      <c r="M30" s="26"/>
      <c r="N30" s="24" t="s">
        <v>264</v>
      </c>
    </row>
    <row r="31" spans="1:16" s="53" customFormat="1" ht="30" x14ac:dyDescent="0.3">
      <c r="A31" s="37"/>
      <c r="B31" s="49" t="s">
        <v>34</v>
      </c>
      <c r="C31" s="37"/>
      <c r="D31" s="37" t="s">
        <v>35</v>
      </c>
      <c r="E31" s="51">
        <v>216</v>
      </c>
      <c r="F31" s="52">
        <f>E31*F30</f>
        <v>46.785599999999995</v>
      </c>
      <c r="G31" s="52"/>
      <c r="H31" s="48"/>
      <c r="I31" s="52"/>
      <c r="J31" s="52"/>
      <c r="K31" s="52"/>
      <c r="L31" s="48"/>
      <c r="M31" s="52"/>
      <c r="N31" s="52" t="s">
        <v>264</v>
      </c>
    </row>
    <row r="32" spans="1:16" s="27" customFormat="1" ht="30" x14ac:dyDescent="0.3">
      <c r="A32" s="20">
        <v>9</v>
      </c>
      <c r="B32" s="21" t="s">
        <v>71</v>
      </c>
      <c r="C32" s="22" t="s">
        <v>42</v>
      </c>
      <c r="D32" s="23" t="s">
        <v>43</v>
      </c>
      <c r="E32" s="23"/>
      <c r="F32" s="7">
        <f>10/1000</f>
        <v>0.01</v>
      </c>
      <c r="G32" s="24"/>
      <c r="H32" s="25"/>
      <c r="I32" s="24"/>
      <c r="J32" s="26"/>
      <c r="K32" s="24"/>
      <c r="L32" s="25"/>
      <c r="M32" s="26"/>
      <c r="N32" s="24" t="s">
        <v>264</v>
      </c>
    </row>
    <row r="33" spans="1:16" s="53" customFormat="1" ht="30" x14ac:dyDescent="0.3">
      <c r="A33" s="37"/>
      <c r="B33" s="49" t="s">
        <v>34</v>
      </c>
      <c r="C33" s="37"/>
      <c r="D33" s="37" t="s">
        <v>35</v>
      </c>
      <c r="E33" s="51">
        <v>1710</v>
      </c>
      <c r="F33" s="52">
        <f>E33*F32</f>
        <v>17.100000000000001</v>
      </c>
      <c r="G33" s="52"/>
      <c r="H33" s="48"/>
      <c r="I33" s="52"/>
      <c r="J33" s="52"/>
      <c r="K33" s="52"/>
      <c r="L33" s="48"/>
      <c r="M33" s="52"/>
      <c r="N33" s="52" t="s">
        <v>264</v>
      </c>
    </row>
    <row r="34" spans="1:16" s="53" customFormat="1" x14ac:dyDescent="0.3">
      <c r="A34" s="37"/>
      <c r="B34" s="64" t="s">
        <v>44</v>
      </c>
      <c r="C34" s="50"/>
      <c r="D34" s="37" t="s">
        <v>45</v>
      </c>
      <c r="E34" s="51">
        <v>1300</v>
      </c>
      <c r="F34" s="52">
        <f>E34*F32</f>
        <v>13</v>
      </c>
      <c r="G34" s="52"/>
      <c r="H34" s="52"/>
      <c r="I34" s="52"/>
      <c r="J34" s="52"/>
      <c r="K34" s="52"/>
      <c r="L34" s="48"/>
      <c r="M34" s="52"/>
      <c r="N34" s="52" t="s">
        <v>264</v>
      </c>
    </row>
    <row r="35" spans="1:16" s="70" customFormat="1" ht="18" x14ac:dyDescent="0.25">
      <c r="A35" s="65"/>
      <c r="B35" s="66" t="s">
        <v>40</v>
      </c>
      <c r="C35" s="50"/>
      <c r="D35" s="67"/>
      <c r="E35" s="68"/>
      <c r="F35" s="48"/>
      <c r="G35" s="48"/>
      <c r="H35" s="48"/>
      <c r="I35" s="48"/>
      <c r="J35" s="48"/>
      <c r="K35" s="48"/>
      <c r="L35" s="48"/>
      <c r="M35" s="48"/>
      <c r="N35" s="48"/>
      <c r="O35" s="69"/>
      <c r="P35" s="69"/>
    </row>
    <row r="36" spans="1:16" s="70" customFormat="1" ht="30" x14ac:dyDescent="0.25">
      <c r="A36" s="65"/>
      <c r="B36" s="122" t="s">
        <v>46</v>
      </c>
      <c r="C36" s="50" t="s">
        <v>47</v>
      </c>
      <c r="D36" s="67" t="s">
        <v>48</v>
      </c>
      <c r="E36" s="68">
        <v>1003</v>
      </c>
      <c r="F36" s="48">
        <f>E36*F32</f>
        <v>10.029999999999999</v>
      </c>
      <c r="G36" s="48"/>
      <c r="H36" s="48"/>
      <c r="I36" s="48"/>
      <c r="J36" s="48"/>
      <c r="K36" s="48"/>
      <c r="L36" s="48"/>
      <c r="M36" s="48"/>
      <c r="N36" s="48" t="s">
        <v>265</v>
      </c>
      <c r="O36" s="69"/>
      <c r="P36" s="69"/>
    </row>
    <row r="37" spans="1:16" s="70" customFormat="1" ht="18" x14ac:dyDescent="0.25">
      <c r="A37" s="65"/>
      <c r="B37" s="71" t="s">
        <v>49</v>
      </c>
      <c r="C37" s="50"/>
      <c r="D37" s="67" t="s">
        <v>45</v>
      </c>
      <c r="E37" s="68">
        <v>391</v>
      </c>
      <c r="F37" s="48">
        <f>E37*F32</f>
        <v>3.91</v>
      </c>
      <c r="G37" s="48"/>
      <c r="H37" s="48"/>
      <c r="I37" s="48"/>
      <c r="J37" s="48"/>
      <c r="K37" s="48"/>
      <c r="L37" s="48"/>
      <c r="M37" s="48"/>
      <c r="N37" s="48" t="s">
        <v>264</v>
      </c>
      <c r="O37" s="69"/>
      <c r="P37" s="69"/>
    </row>
    <row r="38" spans="1:16" s="27" customFormat="1" ht="105" x14ac:dyDescent="0.3">
      <c r="A38" s="20">
        <v>10</v>
      </c>
      <c r="B38" s="21" t="s">
        <v>7</v>
      </c>
      <c r="C38" s="22" t="s">
        <v>50</v>
      </c>
      <c r="D38" s="23" t="s">
        <v>43</v>
      </c>
      <c r="E38" s="23"/>
      <c r="F38" s="7">
        <f>360/1000</f>
        <v>0.36</v>
      </c>
      <c r="G38" s="24"/>
      <c r="H38" s="25"/>
      <c r="I38" s="24"/>
      <c r="J38" s="26"/>
      <c r="K38" s="24"/>
      <c r="L38" s="25"/>
      <c r="M38" s="26"/>
      <c r="N38" s="24" t="s">
        <v>264</v>
      </c>
    </row>
    <row r="39" spans="1:16" s="53" customFormat="1" ht="30" x14ac:dyDescent="0.3">
      <c r="A39" s="37"/>
      <c r="B39" s="49" t="s">
        <v>34</v>
      </c>
      <c r="C39" s="37"/>
      <c r="D39" s="37" t="s">
        <v>35</v>
      </c>
      <c r="E39" s="51">
        <v>1320</v>
      </c>
      <c r="F39" s="52">
        <f>E39*F38</f>
        <v>475.2</v>
      </c>
      <c r="G39" s="52"/>
      <c r="H39" s="48"/>
      <c r="I39" s="52"/>
      <c r="J39" s="52"/>
      <c r="K39" s="52"/>
      <c r="L39" s="48"/>
      <c r="M39" s="52"/>
      <c r="N39" s="52" t="s">
        <v>264</v>
      </c>
    </row>
    <row r="40" spans="1:16" s="53" customFormat="1" x14ac:dyDescent="0.3">
      <c r="A40" s="37"/>
      <c r="B40" s="64" t="s">
        <v>44</v>
      </c>
      <c r="C40" s="50"/>
      <c r="D40" s="37" t="s">
        <v>45</v>
      </c>
      <c r="E40" s="51">
        <v>702</v>
      </c>
      <c r="F40" s="52">
        <f>E40*F38</f>
        <v>252.72</v>
      </c>
      <c r="G40" s="52"/>
      <c r="H40" s="52"/>
      <c r="I40" s="52"/>
      <c r="J40" s="52"/>
      <c r="K40" s="52"/>
      <c r="L40" s="48"/>
      <c r="M40" s="52"/>
      <c r="N40" s="52" t="s">
        <v>264</v>
      </c>
    </row>
    <row r="41" spans="1:16" s="70" customFormat="1" ht="18" x14ac:dyDescent="0.25">
      <c r="A41" s="65"/>
      <c r="B41" s="66" t="s">
        <v>40</v>
      </c>
      <c r="C41" s="50"/>
      <c r="D41" s="67"/>
      <c r="E41" s="68"/>
      <c r="F41" s="48"/>
      <c r="G41" s="48"/>
      <c r="H41" s="48"/>
      <c r="I41" s="48"/>
      <c r="J41" s="48"/>
      <c r="K41" s="48"/>
      <c r="L41" s="48"/>
      <c r="M41" s="48"/>
      <c r="N41" s="48"/>
      <c r="O41" s="69"/>
      <c r="P41" s="69"/>
    </row>
    <row r="42" spans="1:16" s="70" customFormat="1" ht="30" x14ac:dyDescent="0.25">
      <c r="A42" s="65"/>
      <c r="B42" s="122" t="s">
        <v>51</v>
      </c>
      <c r="C42" s="50" t="s">
        <v>47</v>
      </c>
      <c r="D42" s="67" t="s">
        <v>48</v>
      </c>
      <c r="E42" s="68">
        <v>1003</v>
      </c>
      <c r="F42" s="48">
        <f>E42*F38</f>
        <v>361.08</v>
      </c>
      <c r="G42" s="60"/>
      <c r="H42" s="48"/>
      <c r="I42" s="48"/>
      <c r="J42" s="48"/>
      <c r="K42" s="48"/>
      <c r="L42" s="48"/>
      <c r="M42" s="48"/>
      <c r="N42" s="60" t="s">
        <v>265</v>
      </c>
      <c r="O42" s="69"/>
      <c r="P42" s="69"/>
    </row>
    <row r="43" spans="1:16" s="70" customFormat="1" ht="18" x14ac:dyDescent="0.25">
      <c r="A43" s="65"/>
      <c r="B43" s="71" t="s">
        <v>49</v>
      </c>
      <c r="C43" s="50"/>
      <c r="D43" s="67" t="s">
        <v>45</v>
      </c>
      <c r="E43" s="68">
        <v>331</v>
      </c>
      <c r="F43" s="48">
        <f>E43*F38</f>
        <v>119.16</v>
      </c>
      <c r="G43" s="48"/>
      <c r="H43" s="48"/>
      <c r="I43" s="48"/>
      <c r="J43" s="48"/>
      <c r="K43" s="48"/>
      <c r="L43" s="48"/>
      <c r="M43" s="48"/>
      <c r="N43" s="48" t="s">
        <v>264</v>
      </c>
      <c r="O43" s="69"/>
      <c r="P43" s="69"/>
    </row>
    <row r="44" spans="1:16" s="27" customFormat="1" ht="105" x14ac:dyDescent="0.3">
      <c r="A44" s="20">
        <v>11</v>
      </c>
      <c r="B44" s="21" t="s">
        <v>95</v>
      </c>
      <c r="C44" s="22" t="s">
        <v>50</v>
      </c>
      <c r="D44" s="23" t="s">
        <v>43</v>
      </c>
      <c r="E44" s="23"/>
      <c r="F44" s="7">
        <f>42/1000</f>
        <v>4.2000000000000003E-2</v>
      </c>
      <c r="G44" s="24"/>
      <c r="H44" s="25"/>
      <c r="I44" s="24"/>
      <c r="J44" s="26"/>
      <c r="K44" s="24"/>
      <c r="L44" s="25"/>
      <c r="M44" s="26"/>
      <c r="N44" s="24" t="s">
        <v>264</v>
      </c>
    </row>
    <row r="45" spans="1:16" s="53" customFormat="1" ht="30" x14ac:dyDescent="0.3">
      <c r="A45" s="37"/>
      <c r="B45" s="49" t="s">
        <v>34</v>
      </c>
      <c r="C45" s="37"/>
      <c r="D45" s="37" t="s">
        <v>35</v>
      </c>
      <c r="E45" s="51">
        <v>1320</v>
      </c>
      <c r="F45" s="52">
        <f>E45*F44</f>
        <v>55.440000000000005</v>
      </c>
      <c r="G45" s="52"/>
      <c r="H45" s="48"/>
      <c r="I45" s="52"/>
      <c r="J45" s="52"/>
      <c r="K45" s="52"/>
      <c r="L45" s="48"/>
      <c r="M45" s="52"/>
      <c r="N45" s="52" t="s">
        <v>264</v>
      </c>
    </row>
    <row r="46" spans="1:16" s="53" customFormat="1" x14ac:dyDescent="0.3">
      <c r="A46" s="37"/>
      <c r="B46" s="64" t="s">
        <v>44</v>
      </c>
      <c r="C46" s="50"/>
      <c r="D46" s="37" t="s">
        <v>45</v>
      </c>
      <c r="E46" s="51">
        <v>702</v>
      </c>
      <c r="F46" s="52">
        <f>E46*F44</f>
        <v>29.484000000000002</v>
      </c>
      <c r="G46" s="52"/>
      <c r="H46" s="52"/>
      <c r="I46" s="52"/>
      <c r="J46" s="52"/>
      <c r="K46" s="52"/>
      <c r="L46" s="48"/>
      <c r="M46" s="52"/>
      <c r="N46" s="52" t="s">
        <v>264</v>
      </c>
    </row>
    <row r="47" spans="1:16" s="70" customFormat="1" ht="18" x14ac:dyDescent="0.25">
      <c r="A47" s="65"/>
      <c r="B47" s="66" t="s">
        <v>40</v>
      </c>
      <c r="C47" s="50"/>
      <c r="D47" s="67"/>
      <c r="E47" s="68"/>
      <c r="F47" s="48"/>
      <c r="G47" s="48"/>
      <c r="H47" s="48"/>
      <c r="I47" s="48"/>
      <c r="J47" s="48"/>
      <c r="K47" s="48"/>
      <c r="L47" s="48"/>
      <c r="M47" s="48"/>
      <c r="N47" s="48"/>
      <c r="O47" s="69"/>
      <c r="P47" s="69"/>
    </row>
    <row r="48" spans="1:16" s="70" customFormat="1" ht="30" x14ac:dyDescent="0.25">
      <c r="A48" s="65"/>
      <c r="B48" s="122" t="s">
        <v>96</v>
      </c>
      <c r="C48" s="50" t="s">
        <v>47</v>
      </c>
      <c r="D48" s="67" t="s">
        <v>48</v>
      </c>
      <c r="E48" s="68">
        <v>1003</v>
      </c>
      <c r="F48" s="48">
        <f>E48*F44</f>
        <v>42.126000000000005</v>
      </c>
      <c r="G48" s="60"/>
      <c r="H48" s="48"/>
      <c r="I48" s="48"/>
      <c r="J48" s="48"/>
      <c r="K48" s="48"/>
      <c r="L48" s="48"/>
      <c r="M48" s="48"/>
      <c r="N48" s="60" t="s">
        <v>265</v>
      </c>
      <c r="O48" s="69"/>
      <c r="P48" s="69"/>
    </row>
    <row r="49" spans="1:16" s="70" customFormat="1" ht="18" x14ac:dyDescent="0.25">
      <c r="A49" s="65"/>
      <c r="B49" s="71" t="s">
        <v>49</v>
      </c>
      <c r="C49" s="50"/>
      <c r="D49" s="67" t="s">
        <v>45</v>
      </c>
      <c r="E49" s="68">
        <v>331</v>
      </c>
      <c r="F49" s="48">
        <f>E49*F44</f>
        <v>13.902000000000001</v>
      </c>
      <c r="G49" s="48"/>
      <c r="H49" s="48"/>
      <c r="I49" s="48"/>
      <c r="J49" s="48"/>
      <c r="K49" s="48"/>
      <c r="L49" s="48"/>
      <c r="M49" s="48"/>
      <c r="N49" s="48" t="s">
        <v>264</v>
      </c>
      <c r="O49" s="69"/>
      <c r="P49" s="69"/>
    </row>
    <row r="50" spans="1:16" s="27" customFormat="1" ht="45" x14ac:dyDescent="0.3">
      <c r="A50" s="20">
        <v>12</v>
      </c>
      <c r="B50" s="21" t="s">
        <v>6</v>
      </c>
      <c r="C50" s="22" t="s">
        <v>52</v>
      </c>
      <c r="D50" s="23" t="s">
        <v>43</v>
      </c>
      <c r="E50" s="7"/>
      <c r="F50" s="72">
        <f>0.01</f>
        <v>0.01</v>
      </c>
      <c r="G50" s="24"/>
      <c r="H50" s="25"/>
      <c r="I50" s="24"/>
      <c r="J50" s="26"/>
      <c r="K50" s="24"/>
      <c r="L50" s="25"/>
      <c r="M50" s="26"/>
      <c r="N50" s="24" t="s">
        <v>264</v>
      </c>
    </row>
    <row r="51" spans="1:16" s="53" customFormat="1" ht="30" x14ac:dyDescent="0.3">
      <c r="A51" s="37"/>
      <c r="B51" s="49" t="s">
        <v>34</v>
      </c>
      <c r="C51" s="37"/>
      <c r="D51" s="37" t="s">
        <v>35</v>
      </c>
      <c r="E51" s="51">
        <v>423</v>
      </c>
      <c r="F51" s="52">
        <f>E51*F50</f>
        <v>4.2300000000000004</v>
      </c>
      <c r="G51" s="52"/>
      <c r="H51" s="48"/>
      <c r="I51" s="52"/>
      <c r="J51" s="52"/>
      <c r="K51" s="52"/>
      <c r="L51" s="48"/>
      <c r="M51" s="52"/>
      <c r="N51" s="52" t="s">
        <v>264</v>
      </c>
    </row>
    <row r="52" spans="1:16" s="53" customFormat="1" x14ac:dyDescent="0.3">
      <c r="A52" s="37"/>
      <c r="B52" s="64" t="s">
        <v>44</v>
      </c>
      <c r="C52" s="50"/>
      <c r="D52" s="37" t="s">
        <v>45</v>
      </c>
      <c r="E52" s="51">
        <v>759</v>
      </c>
      <c r="F52" s="52">
        <f>E52*F50</f>
        <v>7.59</v>
      </c>
      <c r="G52" s="52"/>
      <c r="H52" s="52"/>
      <c r="I52" s="52"/>
      <c r="J52" s="52"/>
      <c r="K52" s="52"/>
      <c r="L52" s="48"/>
      <c r="M52" s="52"/>
      <c r="N52" s="52" t="s">
        <v>264</v>
      </c>
    </row>
    <row r="53" spans="1:16" s="70" customFormat="1" ht="18" x14ac:dyDescent="0.25">
      <c r="A53" s="65"/>
      <c r="B53" s="66" t="s">
        <v>40</v>
      </c>
      <c r="C53" s="50"/>
      <c r="D53" s="67"/>
      <c r="E53" s="68"/>
      <c r="F53" s="48"/>
      <c r="G53" s="48"/>
      <c r="H53" s="48"/>
      <c r="I53" s="48"/>
      <c r="J53" s="48"/>
      <c r="K53" s="48"/>
      <c r="L53" s="48"/>
      <c r="M53" s="48"/>
      <c r="N53" s="48"/>
      <c r="O53" s="69"/>
      <c r="P53" s="69"/>
    </row>
    <row r="54" spans="1:16" s="70" customFormat="1" ht="18" x14ac:dyDescent="0.25">
      <c r="A54" s="65"/>
      <c r="B54" s="49" t="s">
        <v>53</v>
      </c>
      <c r="C54" s="50" t="s">
        <v>54</v>
      </c>
      <c r="D54" s="67" t="s">
        <v>55</v>
      </c>
      <c r="E54" s="68">
        <v>12.2</v>
      </c>
      <c r="F54" s="48">
        <f>E54*F50</f>
        <v>0.122</v>
      </c>
      <c r="G54" s="48"/>
      <c r="H54" s="48"/>
      <c r="I54" s="48"/>
      <c r="J54" s="48"/>
      <c r="K54" s="48"/>
      <c r="L54" s="48"/>
      <c r="M54" s="48"/>
      <c r="N54" s="48" t="s">
        <v>264</v>
      </c>
      <c r="O54" s="69"/>
      <c r="P54" s="69"/>
    </row>
    <row r="55" spans="1:16" s="70" customFormat="1" ht="18" x14ac:dyDescent="0.25">
      <c r="A55" s="65"/>
      <c r="B55" s="71" t="s">
        <v>49</v>
      </c>
      <c r="C55" s="50"/>
      <c r="D55" s="67" t="s">
        <v>45</v>
      </c>
      <c r="E55" s="68">
        <v>53.4</v>
      </c>
      <c r="F55" s="48">
        <f>E55*F50</f>
        <v>0.53400000000000003</v>
      </c>
      <c r="G55" s="48"/>
      <c r="H55" s="48"/>
      <c r="I55" s="48"/>
      <c r="J55" s="48"/>
      <c r="K55" s="48"/>
      <c r="L55" s="48"/>
      <c r="M55" s="48"/>
      <c r="N55" s="48" t="s">
        <v>264</v>
      </c>
      <c r="O55" s="69"/>
      <c r="P55" s="69"/>
    </row>
    <row r="56" spans="1:16" s="27" customFormat="1" ht="30" x14ac:dyDescent="0.3">
      <c r="A56" s="20">
        <v>13</v>
      </c>
      <c r="B56" s="21" t="s">
        <v>56</v>
      </c>
      <c r="C56" s="22" t="s">
        <v>57</v>
      </c>
      <c r="D56" s="23" t="s">
        <v>55</v>
      </c>
      <c r="E56" s="7"/>
      <c r="F56" s="72">
        <v>5.4</v>
      </c>
      <c r="G56" s="24"/>
      <c r="H56" s="25"/>
      <c r="I56" s="24"/>
      <c r="J56" s="26"/>
      <c r="K56" s="24"/>
      <c r="L56" s="25"/>
      <c r="M56" s="26"/>
      <c r="N56" s="24"/>
    </row>
    <row r="57" spans="1:16" s="53" customFormat="1" ht="30" x14ac:dyDescent="0.3">
      <c r="A57" s="37"/>
      <c r="B57" s="49" t="s">
        <v>34</v>
      </c>
      <c r="C57" s="37"/>
      <c r="D57" s="37" t="s">
        <v>35</v>
      </c>
      <c r="E57" s="51">
        <v>134</v>
      </c>
      <c r="F57" s="52">
        <f>E57*F56</f>
        <v>723.6</v>
      </c>
      <c r="G57" s="52"/>
      <c r="H57" s="48"/>
      <c r="I57" s="52"/>
      <c r="J57" s="52"/>
      <c r="K57" s="52"/>
      <c r="L57" s="48"/>
      <c r="M57" s="52"/>
      <c r="N57" s="52" t="s">
        <v>264</v>
      </c>
    </row>
    <row r="58" spans="1:16" s="53" customFormat="1" x14ac:dyDescent="0.3">
      <c r="A58" s="37"/>
      <c r="B58" s="64" t="s">
        <v>44</v>
      </c>
      <c r="C58" s="50"/>
      <c r="D58" s="37" t="s">
        <v>45</v>
      </c>
      <c r="E58" s="51">
        <v>129</v>
      </c>
      <c r="F58" s="52">
        <f>E58*F56</f>
        <v>696.6</v>
      </c>
      <c r="G58" s="52"/>
      <c r="H58" s="52"/>
      <c r="I58" s="52"/>
      <c r="J58" s="52"/>
      <c r="K58" s="52"/>
      <c r="L58" s="48"/>
      <c r="M58" s="52"/>
      <c r="N58" s="52" t="s">
        <v>264</v>
      </c>
    </row>
    <row r="59" spans="1:16" s="70" customFormat="1" ht="18" x14ac:dyDescent="0.25">
      <c r="A59" s="65"/>
      <c r="B59" s="66" t="s">
        <v>40</v>
      </c>
      <c r="C59" s="50"/>
      <c r="D59" s="67"/>
      <c r="E59" s="68"/>
      <c r="F59" s="48"/>
      <c r="G59" s="48"/>
      <c r="H59" s="48"/>
      <c r="I59" s="48"/>
      <c r="J59" s="48"/>
      <c r="K59" s="48"/>
      <c r="L59" s="48"/>
      <c r="M59" s="48"/>
      <c r="N59" s="48"/>
      <c r="O59" s="69"/>
      <c r="P59" s="69"/>
    </row>
    <row r="60" spans="1:16" ht="30" x14ac:dyDescent="0.25">
      <c r="A60" s="2"/>
      <c r="B60" s="125" t="s">
        <v>98</v>
      </c>
      <c r="C60" s="84"/>
      <c r="D60" s="4" t="s">
        <v>97</v>
      </c>
      <c r="E60" s="85"/>
      <c r="F60" s="52">
        <v>4</v>
      </c>
      <c r="G60" s="60"/>
      <c r="H60" s="48"/>
      <c r="I60" s="48"/>
      <c r="J60" s="48"/>
      <c r="K60" s="48"/>
      <c r="L60" s="48"/>
      <c r="M60" s="48"/>
      <c r="N60" s="60" t="s">
        <v>265</v>
      </c>
      <c r="O60" s="73"/>
    </row>
    <row r="61" spans="1:16" ht="30" x14ac:dyDescent="0.25">
      <c r="A61" s="2"/>
      <c r="B61" s="125" t="s">
        <v>99</v>
      </c>
      <c r="C61" s="84"/>
      <c r="D61" s="4" t="s">
        <v>97</v>
      </c>
      <c r="E61" s="85"/>
      <c r="F61" s="52">
        <v>1</v>
      </c>
      <c r="G61" s="60"/>
      <c r="H61" s="48"/>
      <c r="I61" s="48"/>
      <c r="J61" s="48"/>
      <c r="K61" s="48"/>
      <c r="L61" s="48"/>
      <c r="M61" s="48"/>
      <c r="N61" s="60" t="s">
        <v>265</v>
      </c>
      <c r="O61" s="73"/>
    </row>
    <row r="62" spans="1:16" ht="30" x14ac:dyDescent="0.25">
      <c r="A62" s="2"/>
      <c r="B62" s="124" t="s">
        <v>72</v>
      </c>
      <c r="C62" s="5"/>
      <c r="D62" s="4" t="s">
        <v>21</v>
      </c>
      <c r="E62" s="4"/>
      <c r="F62" s="52">
        <v>2</v>
      </c>
      <c r="G62" s="48"/>
      <c r="H62" s="48"/>
      <c r="I62" s="48"/>
      <c r="J62" s="48"/>
      <c r="K62" s="48"/>
      <c r="L62" s="48"/>
      <c r="M62" s="48"/>
      <c r="N62" s="48" t="s">
        <v>265</v>
      </c>
      <c r="O62" s="73"/>
    </row>
    <row r="63" spans="1:16" s="70" customFormat="1" ht="18" x14ac:dyDescent="0.25">
      <c r="A63" s="65"/>
      <c r="B63" s="71" t="s">
        <v>49</v>
      </c>
      <c r="C63" s="50"/>
      <c r="D63" s="67" t="s">
        <v>45</v>
      </c>
      <c r="E63" s="68">
        <v>45.2</v>
      </c>
      <c r="F63" s="48">
        <f>E63*F56</f>
        <v>244.08000000000004</v>
      </c>
      <c r="G63" s="48"/>
      <c r="H63" s="48"/>
      <c r="I63" s="48"/>
      <c r="J63" s="48"/>
      <c r="K63" s="48"/>
      <c r="L63" s="48"/>
      <c r="M63" s="48"/>
      <c r="N63" s="48" t="s">
        <v>264</v>
      </c>
      <c r="O63" s="69"/>
      <c r="P63" s="69"/>
    </row>
    <row r="64" spans="1:16" s="27" customFormat="1" ht="60" x14ac:dyDescent="0.3">
      <c r="A64" s="20">
        <v>14</v>
      </c>
      <c r="B64" s="21" t="s">
        <v>78</v>
      </c>
      <c r="C64" s="22" t="s">
        <v>65</v>
      </c>
      <c r="D64" s="23" t="s">
        <v>64</v>
      </c>
      <c r="E64" s="7"/>
      <c r="F64" s="72">
        <v>9.6999999999999993</v>
      </c>
      <c r="G64" s="24"/>
      <c r="H64" s="25"/>
      <c r="I64" s="24"/>
      <c r="J64" s="26"/>
      <c r="K64" s="24"/>
      <c r="L64" s="25"/>
      <c r="M64" s="26"/>
      <c r="N64" s="24" t="s">
        <v>264</v>
      </c>
    </row>
    <row r="65" spans="1:16" s="53" customFormat="1" ht="30" x14ac:dyDescent="0.3">
      <c r="A65" s="37"/>
      <c r="B65" s="49" t="s">
        <v>74</v>
      </c>
      <c r="C65" s="37"/>
      <c r="D65" s="37" t="s">
        <v>66</v>
      </c>
      <c r="E65" s="51">
        <f>278/100</f>
        <v>2.78</v>
      </c>
      <c r="F65" s="52">
        <f>E65*F64</f>
        <v>26.965999999999998</v>
      </c>
      <c r="G65" s="52"/>
      <c r="H65" s="48"/>
      <c r="I65" s="52"/>
      <c r="J65" s="52"/>
      <c r="K65" s="52"/>
      <c r="L65" s="48"/>
      <c r="M65" s="52"/>
      <c r="N65" s="52" t="s">
        <v>264</v>
      </c>
    </row>
    <row r="66" spans="1:16" s="53" customFormat="1" x14ac:dyDescent="0.3">
      <c r="A66" s="37"/>
      <c r="B66" s="74" t="s">
        <v>44</v>
      </c>
      <c r="C66" s="50"/>
      <c r="D66" s="37" t="s">
        <v>45</v>
      </c>
      <c r="E66" s="51">
        <f>0.26/100</f>
        <v>2.5999999999999999E-3</v>
      </c>
      <c r="F66" s="51">
        <f>E66*F64</f>
        <v>2.5219999999999996E-2</v>
      </c>
      <c r="G66" s="52"/>
      <c r="H66" s="52"/>
      <c r="I66" s="52"/>
      <c r="J66" s="52"/>
      <c r="K66" s="52"/>
      <c r="L66" s="48"/>
      <c r="M66" s="52"/>
      <c r="N66" s="52" t="s">
        <v>264</v>
      </c>
    </row>
    <row r="67" spans="1:16" s="62" customFormat="1" ht="18" x14ac:dyDescent="0.25">
      <c r="A67" s="55"/>
      <c r="B67" s="56" t="s">
        <v>75</v>
      </c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1"/>
    </row>
    <row r="68" spans="1:16" s="62" customFormat="1" ht="18" x14ac:dyDescent="0.25">
      <c r="A68" s="55"/>
      <c r="B68" s="63" t="s">
        <v>76</v>
      </c>
      <c r="C68" s="57" t="s">
        <v>77</v>
      </c>
      <c r="D68" s="58" t="s">
        <v>41</v>
      </c>
      <c r="E68" s="59">
        <f>101/100</f>
        <v>1.01</v>
      </c>
      <c r="F68" s="60">
        <f>E68*F64</f>
        <v>9.7969999999999988</v>
      </c>
      <c r="G68" s="48"/>
      <c r="H68" s="60"/>
      <c r="I68" s="60"/>
      <c r="J68" s="60"/>
      <c r="K68" s="60"/>
      <c r="L68" s="60"/>
      <c r="M68" s="60"/>
      <c r="N68" s="48" t="s">
        <v>264</v>
      </c>
      <c r="O68" s="61"/>
      <c r="P68" s="61"/>
    </row>
    <row r="69" spans="1:16" s="46" customFormat="1" ht="30" x14ac:dyDescent="0.25">
      <c r="A69" s="20">
        <v>15</v>
      </c>
      <c r="B69" s="21" t="s">
        <v>79</v>
      </c>
      <c r="C69" s="22" t="s">
        <v>80</v>
      </c>
      <c r="D69" s="23" t="s">
        <v>68</v>
      </c>
      <c r="E69" s="7"/>
      <c r="F69" s="72">
        <v>0.5</v>
      </c>
      <c r="G69" s="24"/>
      <c r="H69" s="25"/>
      <c r="I69" s="24"/>
      <c r="J69" s="26"/>
      <c r="K69" s="24"/>
      <c r="L69" s="25"/>
      <c r="M69" s="26"/>
      <c r="N69" s="24" t="s">
        <v>264</v>
      </c>
    </row>
    <row r="70" spans="1:16" s="39" customFormat="1" ht="30" x14ac:dyDescent="0.25">
      <c r="A70" s="75"/>
      <c r="B70" s="76" t="s">
        <v>34</v>
      </c>
      <c r="C70" s="75"/>
      <c r="D70" s="75" t="s">
        <v>66</v>
      </c>
      <c r="E70" s="77">
        <v>46.88</v>
      </c>
      <c r="F70" s="78">
        <f>E70*F69</f>
        <v>23.44</v>
      </c>
      <c r="G70" s="78"/>
      <c r="H70" s="79"/>
      <c r="I70" s="78"/>
      <c r="J70" s="78"/>
      <c r="K70" s="78"/>
      <c r="L70" s="79"/>
      <c r="M70" s="78"/>
      <c r="N70" s="78" t="s">
        <v>264</v>
      </c>
    </row>
    <row r="71" spans="1:16" s="46" customFormat="1" ht="18" x14ac:dyDescent="0.25">
      <c r="A71" s="81"/>
      <c r="B71" s="56" t="s">
        <v>67</v>
      </c>
      <c r="C71" s="57"/>
      <c r="D71" s="82"/>
      <c r="E71" s="59"/>
      <c r="F71" s="60"/>
      <c r="G71" s="60"/>
      <c r="H71" s="60"/>
      <c r="I71" s="60"/>
      <c r="J71" s="60"/>
      <c r="K71" s="60"/>
      <c r="L71" s="60"/>
      <c r="M71" s="60"/>
      <c r="N71" s="60"/>
    </row>
    <row r="72" spans="1:16" s="46" customFormat="1" ht="18" x14ac:dyDescent="0.25">
      <c r="A72" s="81"/>
      <c r="B72" s="83" t="s">
        <v>82</v>
      </c>
      <c r="C72" s="57"/>
      <c r="D72" s="82" t="s">
        <v>81</v>
      </c>
      <c r="E72" s="59">
        <v>24.08</v>
      </c>
      <c r="F72" s="60">
        <f>E72*F69</f>
        <v>12.04</v>
      </c>
      <c r="G72" s="79"/>
      <c r="H72" s="60"/>
      <c r="I72" s="60"/>
      <c r="J72" s="60"/>
      <c r="K72" s="60"/>
      <c r="L72" s="60"/>
      <c r="M72" s="60"/>
      <c r="N72" s="79" t="s">
        <v>264</v>
      </c>
    </row>
    <row r="73" spans="1:16" s="46" customFormat="1" ht="18" x14ac:dyDescent="0.25">
      <c r="A73" s="81"/>
      <c r="B73" s="83" t="s">
        <v>84</v>
      </c>
      <c r="C73" s="57"/>
      <c r="D73" s="82" t="s">
        <v>81</v>
      </c>
      <c r="E73" s="59">
        <v>0.06</v>
      </c>
      <c r="F73" s="60">
        <f>E73*F69</f>
        <v>0.03</v>
      </c>
      <c r="G73" s="79"/>
      <c r="H73" s="60"/>
      <c r="I73" s="60"/>
      <c r="J73" s="60"/>
      <c r="K73" s="60"/>
      <c r="L73" s="60"/>
      <c r="M73" s="60"/>
      <c r="N73" s="79" t="s">
        <v>264</v>
      </c>
    </row>
    <row r="74" spans="1:16" s="46" customFormat="1" ht="18" x14ac:dyDescent="0.25">
      <c r="A74" s="81"/>
      <c r="B74" s="83" t="s">
        <v>83</v>
      </c>
      <c r="C74" s="57"/>
      <c r="D74" s="82" t="s">
        <v>41</v>
      </c>
      <c r="E74" s="59">
        <v>0.5</v>
      </c>
      <c r="F74" s="60">
        <f>E74*F69</f>
        <v>0.25</v>
      </c>
      <c r="G74" s="79"/>
      <c r="H74" s="60"/>
      <c r="I74" s="60"/>
      <c r="J74" s="60"/>
      <c r="K74" s="60"/>
      <c r="L74" s="60"/>
      <c r="M74" s="60"/>
      <c r="N74" s="79" t="s">
        <v>264</v>
      </c>
    </row>
    <row r="75" spans="1:16" s="27" customFormat="1" ht="75" x14ac:dyDescent="0.3">
      <c r="A75" s="20">
        <v>16</v>
      </c>
      <c r="B75" s="21" t="s">
        <v>2</v>
      </c>
      <c r="C75" s="22" t="s">
        <v>32</v>
      </c>
      <c r="D75" s="54" t="s">
        <v>33</v>
      </c>
      <c r="E75" s="23"/>
      <c r="F75" s="7">
        <f>285/1000</f>
        <v>0.28499999999999998</v>
      </c>
      <c r="G75" s="24"/>
      <c r="H75" s="25"/>
      <c r="I75" s="24"/>
      <c r="J75" s="26"/>
      <c r="K75" s="24"/>
      <c r="L75" s="25"/>
      <c r="M75" s="26"/>
      <c r="N75" s="24" t="s">
        <v>264</v>
      </c>
    </row>
    <row r="76" spans="1:16" s="53" customFormat="1" ht="30" x14ac:dyDescent="0.3">
      <c r="A76" s="37"/>
      <c r="B76" s="49" t="s">
        <v>29</v>
      </c>
      <c r="C76" s="50" t="s">
        <v>30</v>
      </c>
      <c r="D76" s="37" t="s">
        <v>31</v>
      </c>
      <c r="E76" s="51">
        <f>19.1+14.4</f>
        <v>33.5</v>
      </c>
      <c r="F76" s="52">
        <f>E76*F75</f>
        <v>9.5474999999999994</v>
      </c>
      <c r="G76" s="52"/>
      <c r="H76" s="52"/>
      <c r="I76" s="52"/>
      <c r="J76" s="52"/>
      <c r="K76" s="52"/>
      <c r="L76" s="48"/>
      <c r="M76" s="52"/>
      <c r="N76" s="52" t="s">
        <v>264</v>
      </c>
    </row>
    <row r="77" spans="1:16" s="27" customFormat="1" ht="60" x14ac:dyDescent="0.3">
      <c r="A77" s="20">
        <v>17</v>
      </c>
      <c r="B77" s="21" t="s">
        <v>3</v>
      </c>
      <c r="C77" s="22" t="s">
        <v>59</v>
      </c>
      <c r="D77" s="54" t="s">
        <v>33</v>
      </c>
      <c r="E77" s="23"/>
      <c r="F77" s="7">
        <f>2149/1000</f>
        <v>2.149</v>
      </c>
      <c r="G77" s="24"/>
      <c r="H77" s="25"/>
      <c r="I77" s="24"/>
      <c r="J77" s="26"/>
      <c r="K77" s="24"/>
      <c r="L77" s="25"/>
      <c r="M77" s="26"/>
      <c r="N77" s="24" t="s">
        <v>264</v>
      </c>
    </row>
    <row r="78" spans="1:16" s="53" customFormat="1" ht="30" x14ac:dyDescent="0.3">
      <c r="A78" s="37"/>
      <c r="B78" s="49" t="s">
        <v>60</v>
      </c>
      <c r="C78" s="50" t="s">
        <v>30</v>
      </c>
      <c r="D78" s="37" t="s">
        <v>31</v>
      </c>
      <c r="E78" s="51">
        <v>9.2100000000000009</v>
      </c>
      <c r="F78" s="52">
        <f>E78*F77</f>
        <v>19.792290000000001</v>
      </c>
      <c r="G78" s="52"/>
      <c r="H78" s="52"/>
      <c r="I78" s="52"/>
      <c r="J78" s="52"/>
      <c r="K78" s="52"/>
      <c r="L78" s="48"/>
      <c r="M78" s="52"/>
      <c r="N78" s="52" t="s">
        <v>264</v>
      </c>
    </row>
    <row r="79" spans="1:16" s="27" customFormat="1" ht="30" x14ac:dyDescent="0.3">
      <c r="A79" s="20">
        <v>18</v>
      </c>
      <c r="B79" s="21" t="s">
        <v>190</v>
      </c>
      <c r="C79" s="22" t="s">
        <v>191</v>
      </c>
      <c r="D79" s="23" t="s">
        <v>21</v>
      </c>
      <c r="E79" s="23"/>
      <c r="F79" s="7">
        <v>1</v>
      </c>
      <c r="G79" s="24"/>
      <c r="H79" s="25"/>
      <c r="I79" s="24"/>
      <c r="J79" s="26"/>
      <c r="K79" s="24"/>
      <c r="L79" s="25"/>
      <c r="M79" s="26"/>
      <c r="N79" s="24" t="s">
        <v>264</v>
      </c>
    </row>
    <row r="80" spans="1:16" s="53" customFormat="1" x14ac:dyDescent="0.3">
      <c r="A80" s="37"/>
      <c r="B80" s="49" t="s">
        <v>34</v>
      </c>
      <c r="C80" s="37"/>
      <c r="D80" s="37" t="s">
        <v>21</v>
      </c>
      <c r="E80" s="51">
        <v>1</v>
      </c>
      <c r="F80" s="52">
        <f>E80*F79</f>
        <v>1</v>
      </c>
      <c r="G80" s="52"/>
      <c r="H80" s="48"/>
      <c r="I80" s="52"/>
      <c r="J80" s="52"/>
      <c r="K80" s="52"/>
      <c r="L80" s="48"/>
      <c r="M80" s="52"/>
      <c r="N80" s="52" t="s">
        <v>264</v>
      </c>
    </row>
    <row r="81" spans="1:16" s="53" customFormat="1" x14ac:dyDescent="0.3">
      <c r="A81" s="37"/>
      <c r="B81" s="74" t="s">
        <v>188</v>
      </c>
      <c r="C81" s="50"/>
      <c r="D81" s="37" t="s">
        <v>21</v>
      </c>
      <c r="E81" s="51">
        <v>1</v>
      </c>
      <c r="F81" s="52">
        <f>E81*F79</f>
        <v>1</v>
      </c>
      <c r="G81" s="52"/>
      <c r="H81" s="52"/>
      <c r="I81" s="52"/>
      <c r="J81" s="52"/>
      <c r="K81" s="52"/>
      <c r="L81" s="48"/>
      <c r="M81" s="52"/>
      <c r="N81" s="52" t="s">
        <v>264</v>
      </c>
    </row>
    <row r="82" spans="1:16" s="62" customFormat="1" ht="18" x14ac:dyDescent="0.25">
      <c r="A82" s="55"/>
      <c r="B82" s="56" t="s">
        <v>40</v>
      </c>
      <c r="C82" s="57"/>
      <c r="D82" s="58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61"/>
    </row>
    <row r="83" spans="1:16" s="62" customFormat="1" ht="18" x14ac:dyDescent="0.25">
      <c r="A83" s="55"/>
      <c r="B83" s="49" t="s">
        <v>189</v>
      </c>
      <c r="C83" s="57"/>
      <c r="D83" s="37" t="s">
        <v>21</v>
      </c>
      <c r="E83" s="59">
        <v>1</v>
      </c>
      <c r="F83" s="60">
        <f>E83*F79</f>
        <v>1</v>
      </c>
      <c r="G83" s="48"/>
      <c r="H83" s="60"/>
      <c r="I83" s="60"/>
      <c r="J83" s="60"/>
      <c r="K83" s="60"/>
      <c r="L83" s="60"/>
      <c r="M83" s="60"/>
      <c r="N83" s="48" t="s">
        <v>264</v>
      </c>
      <c r="O83" s="61"/>
      <c r="P83" s="61"/>
    </row>
    <row r="84" spans="1:16" s="27" customFormat="1" ht="30" x14ac:dyDescent="0.3">
      <c r="A84" s="20">
        <v>19</v>
      </c>
      <c r="B84" s="21" t="s">
        <v>197</v>
      </c>
      <c r="C84" s="22" t="s">
        <v>198</v>
      </c>
      <c r="D84" s="23" t="s">
        <v>21</v>
      </c>
      <c r="E84" s="23"/>
      <c r="F84" s="7">
        <v>1</v>
      </c>
      <c r="G84" s="24"/>
      <c r="H84" s="25"/>
      <c r="I84" s="24"/>
      <c r="J84" s="26"/>
      <c r="K84" s="24"/>
      <c r="L84" s="25"/>
      <c r="M84" s="26"/>
      <c r="N84" s="24" t="s">
        <v>264</v>
      </c>
    </row>
    <row r="85" spans="1:16" s="53" customFormat="1" x14ac:dyDescent="0.3">
      <c r="A85" s="37"/>
      <c r="B85" s="49" t="s">
        <v>34</v>
      </c>
      <c r="C85" s="37"/>
      <c r="D85" s="37" t="s">
        <v>21</v>
      </c>
      <c r="E85" s="51">
        <v>1</v>
      </c>
      <c r="F85" s="52">
        <f>E85*F84</f>
        <v>1</v>
      </c>
      <c r="G85" s="52"/>
      <c r="H85" s="48"/>
      <c r="I85" s="52"/>
      <c r="J85" s="52"/>
      <c r="K85" s="52"/>
      <c r="L85" s="48"/>
      <c r="M85" s="52"/>
      <c r="N85" s="52" t="s">
        <v>264</v>
      </c>
    </row>
    <row r="86" spans="1:16" s="53" customFormat="1" x14ac:dyDescent="0.3">
      <c r="A86" s="37"/>
      <c r="B86" s="74" t="s">
        <v>188</v>
      </c>
      <c r="C86" s="50"/>
      <c r="D86" s="37" t="s">
        <v>21</v>
      </c>
      <c r="E86" s="51">
        <v>1</v>
      </c>
      <c r="F86" s="52">
        <f>E86*F84</f>
        <v>1</v>
      </c>
      <c r="G86" s="52"/>
      <c r="H86" s="52"/>
      <c r="I86" s="52"/>
      <c r="J86" s="52"/>
      <c r="K86" s="52"/>
      <c r="L86" s="48"/>
      <c r="M86" s="52"/>
      <c r="N86" s="52" t="s">
        <v>264</v>
      </c>
    </row>
    <row r="87" spans="1:16" s="62" customFormat="1" ht="18" x14ac:dyDescent="0.25">
      <c r="A87" s="55"/>
      <c r="B87" s="56" t="s">
        <v>40</v>
      </c>
      <c r="C87" s="57"/>
      <c r="D87" s="58"/>
      <c r="E87" s="59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61"/>
    </row>
    <row r="88" spans="1:16" s="62" customFormat="1" ht="18" x14ac:dyDescent="0.25">
      <c r="A88" s="55"/>
      <c r="B88" s="49" t="s">
        <v>189</v>
      </c>
      <c r="C88" s="57"/>
      <c r="D88" s="37" t="s">
        <v>21</v>
      </c>
      <c r="E88" s="59">
        <v>1</v>
      </c>
      <c r="F88" s="60">
        <f>E88*F84</f>
        <v>1</v>
      </c>
      <c r="G88" s="48"/>
      <c r="H88" s="60"/>
      <c r="I88" s="60"/>
      <c r="J88" s="60"/>
      <c r="K88" s="60"/>
      <c r="L88" s="60"/>
      <c r="M88" s="60"/>
      <c r="N88" s="48" t="s">
        <v>264</v>
      </c>
      <c r="O88" s="61"/>
      <c r="P88" s="61"/>
    </row>
    <row r="89" spans="1:16" s="27" customFormat="1" ht="30" x14ac:dyDescent="0.3">
      <c r="A89" s="20">
        <v>20</v>
      </c>
      <c r="B89" s="21" t="s">
        <v>196</v>
      </c>
      <c r="C89" s="22" t="s">
        <v>199</v>
      </c>
      <c r="D89" s="23" t="s">
        <v>21</v>
      </c>
      <c r="E89" s="23"/>
      <c r="F89" s="7">
        <v>1</v>
      </c>
      <c r="G89" s="24"/>
      <c r="H89" s="25"/>
      <c r="I89" s="24"/>
      <c r="J89" s="26"/>
      <c r="K89" s="24"/>
      <c r="L89" s="25"/>
      <c r="M89" s="26"/>
      <c r="N89" s="24" t="s">
        <v>264</v>
      </c>
    </row>
    <row r="90" spans="1:16" s="53" customFormat="1" x14ac:dyDescent="0.3">
      <c r="A90" s="37"/>
      <c r="B90" s="49" t="s">
        <v>34</v>
      </c>
      <c r="C90" s="37"/>
      <c r="D90" s="37" t="s">
        <v>21</v>
      </c>
      <c r="E90" s="51">
        <v>1</v>
      </c>
      <c r="F90" s="52">
        <f>E90*F89</f>
        <v>1</v>
      </c>
      <c r="G90" s="52"/>
      <c r="H90" s="48"/>
      <c r="I90" s="52"/>
      <c r="J90" s="52"/>
      <c r="K90" s="52"/>
      <c r="L90" s="48"/>
      <c r="M90" s="52"/>
      <c r="N90" s="52" t="s">
        <v>264</v>
      </c>
    </row>
    <row r="91" spans="1:16" s="53" customFormat="1" x14ac:dyDescent="0.3">
      <c r="A91" s="37"/>
      <c r="B91" s="74" t="s">
        <v>188</v>
      </c>
      <c r="C91" s="50"/>
      <c r="D91" s="37" t="s">
        <v>21</v>
      </c>
      <c r="E91" s="51">
        <v>1</v>
      </c>
      <c r="F91" s="52">
        <f>E91*F89</f>
        <v>1</v>
      </c>
      <c r="G91" s="52"/>
      <c r="H91" s="52"/>
      <c r="I91" s="52"/>
      <c r="J91" s="52"/>
      <c r="K91" s="52"/>
      <c r="L91" s="48"/>
      <c r="M91" s="52"/>
      <c r="N91" s="52" t="s">
        <v>264</v>
      </c>
    </row>
    <row r="92" spans="1:16" s="62" customFormat="1" ht="18" x14ac:dyDescent="0.25">
      <c r="A92" s="55"/>
      <c r="B92" s="56" t="s">
        <v>40</v>
      </c>
      <c r="C92" s="57"/>
      <c r="D92" s="58"/>
      <c r="E92" s="59"/>
      <c r="F92" s="60"/>
      <c r="G92" s="60"/>
      <c r="H92" s="60"/>
      <c r="I92" s="60"/>
      <c r="J92" s="60"/>
      <c r="K92" s="60"/>
      <c r="L92" s="60"/>
      <c r="M92" s="60"/>
      <c r="N92" s="88"/>
      <c r="O92" s="61"/>
      <c r="P92" s="61"/>
    </row>
    <row r="93" spans="1:16" s="62" customFormat="1" ht="18" x14ac:dyDescent="0.25">
      <c r="A93" s="55"/>
      <c r="B93" s="49" t="s">
        <v>189</v>
      </c>
      <c r="C93" s="57"/>
      <c r="D93" s="37" t="s">
        <v>21</v>
      </c>
      <c r="E93" s="59">
        <v>1</v>
      </c>
      <c r="F93" s="60">
        <f>E93*F89</f>
        <v>1</v>
      </c>
      <c r="G93" s="48"/>
      <c r="H93" s="60"/>
      <c r="I93" s="60"/>
      <c r="J93" s="60"/>
      <c r="K93" s="60"/>
      <c r="L93" s="60"/>
      <c r="M93" s="60"/>
      <c r="N93" s="52" t="s">
        <v>264</v>
      </c>
      <c r="O93" s="61"/>
      <c r="P93" s="61"/>
    </row>
    <row r="94" spans="1:16" s="53" customFormat="1" x14ac:dyDescent="0.3">
      <c r="A94" s="34"/>
      <c r="B94" s="49"/>
      <c r="C94" s="37"/>
      <c r="D94" s="36"/>
      <c r="E94" s="36"/>
      <c r="F94" s="133"/>
      <c r="G94" s="133"/>
      <c r="H94" s="52"/>
      <c r="I94" s="133"/>
      <c r="J94" s="52"/>
      <c r="K94" s="133"/>
      <c r="L94" s="52"/>
      <c r="M94" s="52"/>
      <c r="N94" s="134"/>
    </row>
    <row r="95" spans="1:16" s="39" customFormat="1" x14ac:dyDescent="0.25">
      <c r="A95" s="28"/>
      <c r="B95" s="29" t="s">
        <v>9</v>
      </c>
      <c r="C95" s="30"/>
      <c r="D95" s="31"/>
      <c r="E95" s="31"/>
      <c r="F95" s="28"/>
      <c r="G95" s="28"/>
      <c r="H95" s="32">
        <f>SUM(H7:H94)</f>
        <v>0</v>
      </c>
      <c r="I95" s="32"/>
      <c r="J95" s="32">
        <f>SUM(J7:J94)</f>
        <v>0</v>
      </c>
      <c r="K95" s="32"/>
      <c r="L95" s="32">
        <f>SUM(L7:L94)</f>
        <v>0</v>
      </c>
      <c r="M95" s="32">
        <f>SUM(M7:M94)</f>
        <v>0</v>
      </c>
      <c r="N95" s="128"/>
    </row>
    <row r="96" spans="1:16" s="39" customFormat="1" x14ac:dyDescent="0.25">
      <c r="A96" s="33"/>
      <c r="B96" s="34" t="s">
        <v>22</v>
      </c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8">
        <f>M95*C96</f>
        <v>0</v>
      </c>
      <c r="N96" s="129"/>
    </row>
    <row r="97" spans="1:14" s="135" customFormat="1" x14ac:dyDescent="0.25">
      <c r="A97" s="40"/>
      <c r="B97" s="29" t="s">
        <v>9</v>
      </c>
      <c r="C97" s="41"/>
      <c r="D97" s="42"/>
      <c r="E97" s="42"/>
      <c r="F97" s="29"/>
      <c r="G97" s="29"/>
      <c r="H97" s="43"/>
      <c r="I97" s="43"/>
      <c r="J97" s="43"/>
      <c r="K97" s="43"/>
      <c r="L97" s="44"/>
      <c r="M97" s="45">
        <f>SUM(M95:M96)</f>
        <v>0</v>
      </c>
      <c r="N97" s="130"/>
    </row>
    <row r="98" spans="1:14" s="39" customFormat="1" x14ac:dyDescent="0.25">
      <c r="A98" s="33"/>
      <c r="B98" s="34" t="s">
        <v>23</v>
      </c>
      <c r="C98" s="35"/>
      <c r="D98" s="36"/>
      <c r="E98" s="36"/>
      <c r="F98" s="37"/>
      <c r="G98" s="37"/>
      <c r="H98" s="47"/>
      <c r="I98" s="47"/>
      <c r="J98" s="47"/>
      <c r="K98" s="47"/>
      <c r="L98" s="48"/>
      <c r="M98" s="38">
        <f>M97*C98</f>
        <v>0</v>
      </c>
      <c r="N98" s="129"/>
    </row>
    <row r="99" spans="1:14" s="135" customFormat="1" x14ac:dyDescent="0.25">
      <c r="A99" s="40"/>
      <c r="B99" s="29" t="s">
        <v>9</v>
      </c>
      <c r="C99" s="41"/>
      <c r="D99" s="42"/>
      <c r="E99" s="42"/>
      <c r="F99" s="29"/>
      <c r="G99" s="29"/>
      <c r="H99" s="44"/>
      <c r="I99" s="43"/>
      <c r="J99" s="44"/>
      <c r="K99" s="43"/>
      <c r="L99" s="44"/>
      <c r="M99" s="45">
        <f>M98+M97</f>
        <v>0</v>
      </c>
      <c r="N99" s="130"/>
    </row>
    <row r="100" spans="1:14" ht="15.75" x14ac:dyDescent="0.25">
      <c r="A100" s="2"/>
      <c r="B100" s="126" t="s">
        <v>268</v>
      </c>
      <c r="C100" s="35">
        <v>0.18</v>
      </c>
      <c r="D100" s="2"/>
      <c r="E100" s="2"/>
      <c r="F100" s="2"/>
      <c r="G100" s="132"/>
      <c r="H100" s="132"/>
      <c r="I100" s="132"/>
      <c r="J100" s="132"/>
      <c r="K100" s="132"/>
      <c r="L100" s="132"/>
      <c r="M100" s="139">
        <f>M99*C100</f>
        <v>0</v>
      </c>
      <c r="N100" s="132"/>
    </row>
    <row r="101" spans="1:14" ht="15.75" x14ac:dyDescent="0.25">
      <c r="A101" s="136"/>
      <c r="B101" s="138" t="s">
        <v>267</v>
      </c>
      <c r="C101" s="137"/>
      <c r="D101" s="136"/>
      <c r="E101" s="136"/>
      <c r="F101" s="136"/>
      <c r="G101" s="137"/>
      <c r="H101" s="137"/>
      <c r="I101" s="137"/>
      <c r="J101" s="137"/>
      <c r="K101" s="137"/>
      <c r="L101" s="137"/>
      <c r="M101" s="45">
        <f>M99+M100</f>
        <v>0</v>
      </c>
      <c r="N101" s="137"/>
    </row>
  </sheetData>
  <autoFilter ref="D1:D96"/>
  <mergeCells count="12">
    <mergeCell ref="N3:N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 horizontalCentered="1"/>
  <pageMargins left="0.45" right="0.25" top="0.45" bottom="0.45" header="0.3" footer="0.3"/>
  <pageSetup scale="64" orientation="landscape" r:id="rId1"/>
  <headerFooter>
    <oddFooter>Page &amp;P of &amp;N</oddFooter>
  </headerFooter>
  <colBreaks count="1" manualBreakCount="1">
    <brk id="14" max="1048575" man="1"/>
  </colBreaks>
  <ignoredErrors>
    <ignoredError sqref="F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08"/>
  <sheetViews>
    <sheetView topLeftCell="A85" zoomScale="70" zoomScaleNormal="70" zoomScaleSheetLayoutView="80" workbookViewId="0">
      <selection activeCell="I115" sqref="I115"/>
    </sheetView>
  </sheetViews>
  <sheetFormatPr defaultRowHeight="15" x14ac:dyDescent="0.25"/>
  <cols>
    <col min="1" max="1" width="4" style="98" bestFit="1" customWidth="1"/>
    <col min="2" max="2" width="45.7109375" style="99" customWidth="1"/>
    <col min="3" max="3" width="13.7109375" style="99" customWidth="1"/>
    <col min="4" max="5" width="13.85546875" style="100" customWidth="1"/>
    <col min="6" max="6" width="10.85546875" style="100" customWidth="1"/>
    <col min="7" max="7" width="9.28515625" bestFit="1" customWidth="1"/>
    <col min="8" max="8" width="12.85546875" bestFit="1" customWidth="1"/>
    <col min="9" max="9" width="9.28515625" bestFit="1" customWidth="1"/>
    <col min="10" max="10" width="11.7109375" bestFit="1" customWidth="1"/>
    <col min="11" max="11" width="9.28515625" bestFit="1" customWidth="1"/>
    <col min="12" max="12" width="11.7109375" bestFit="1" customWidth="1"/>
    <col min="13" max="13" width="14.7109375" customWidth="1"/>
    <col min="14" max="14" width="39.85546875" customWidth="1"/>
    <col min="15" max="15" width="10.140625" bestFit="1" customWidth="1"/>
  </cols>
  <sheetData>
    <row r="1" spans="1:16" s="8" customFormat="1" ht="18" customHeight="1" x14ac:dyDescent="0.2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6" s="8" customFormat="1" x14ac:dyDescent="0.25">
      <c r="A2" s="159" t="s">
        <v>192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6" s="86" customFormat="1" ht="54" customHeight="1" x14ac:dyDescent="0.25">
      <c r="A3" s="160" t="s">
        <v>190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6" s="9" customFormat="1" ht="60.75" customHeight="1" x14ac:dyDescent="0.25">
      <c r="A4" s="161" t="s">
        <v>8</v>
      </c>
      <c r="B4" s="161" t="s">
        <v>10</v>
      </c>
      <c r="C4" s="162" t="s">
        <v>11</v>
      </c>
      <c r="D4" s="161" t="s">
        <v>12</v>
      </c>
      <c r="E4" s="157" t="s">
        <v>13</v>
      </c>
      <c r="F4" s="157"/>
      <c r="G4" s="163" t="s">
        <v>14</v>
      </c>
      <c r="H4" s="163"/>
      <c r="I4" s="157" t="s">
        <v>15</v>
      </c>
      <c r="J4" s="157"/>
      <c r="K4" s="157" t="s">
        <v>16</v>
      </c>
      <c r="L4" s="157"/>
      <c r="M4" s="157" t="s">
        <v>17</v>
      </c>
      <c r="N4" s="155" t="s">
        <v>266</v>
      </c>
    </row>
    <row r="5" spans="1:16" s="9" customFormat="1" ht="60" x14ac:dyDescent="0.25">
      <c r="A5" s="161"/>
      <c r="B5" s="161"/>
      <c r="C5" s="162"/>
      <c r="D5" s="161"/>
      <c r="E5" s="10" t="s">
        <v>18</v>
      </c>
      <c r="F5" s="10" t="s">
        <v>19</v>
      </c>
      <c r="G5" s="10" t="s">
        <v>20</v>
      </c>
      <c r="H5" s="10" t="s">
        <v>19</v>
      </c>
      <c r="I5" s="10" t="s">
        <v>20</v>
      </c>
      <c r="J5" s="10" t="s">
        <v>19</v>
      </c>
      <c r="K5" s="10" t="s">
        <v>20</v>
      </c>
      <c r="L5" s="10" t="s">
        <v>19</v>
      </c>
      <c r="M5" s="157"/>
      <c r="N5" s="156"/>
    </row>
    <row r="6" spans="1:16" s="9" customFormat="1" x14ac:dyDescent="0.25">
      <c r="A6" s="11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1">
        <v>14</v>
      </c>
    </row>
    <row r="7" spans="1:16" s="19" customFormat="1" x14ac:dyDescent="0.25">
      <c r="A7" s="14"/>
      <c r="B7" s="15"/>
      <c r="C7" s="14"/>
      <c r="D7" s="14"/>
      <c r="E7" s="14"/>
      <c r="F7" s="14"/>
      <c r="G7" s="17"/>
      <c r="H7" s="18"/>
      <c r="I7" s="17"/>
      <c r="J7" s="18"/>
      <c r="K7" s="17"/>
      <c r="L7" s="18"/>
      <c r="M7" s="17"/>
      <c r="N7" s="127"/>
    </row>
    <row r="8" spans="1:16" s="27" customFormat="1" ht="60" x14ac:dyDescent="0.3">
      <c r="A8" s="87" t="s">
        <v>187</v>
      </c>
      <c r="B8" s="21" t="s">
        <v>103</v>
      </c>
      <c r="C8" s="22" t="s">
        <v>104</v>
      </c>
      <c r="D8" s="23" t="s">
        <v>101</v>
      </c>
      <c r="E8" s="7"/>
      <c r="F8" s="72">
        <f>0.3/100</f>
        <v>3.0000000000000001E-3</v>
      </c>
      <c r="G8" s="24"/>
      <c r="H8" s="25"/>
      <c r="I8" s="24"/>
      <c r="J8" s="26"/>
      <c r="K8" s="24"/>
      <c r="L8" s="25"/>
      <c r="M8" s="26"/>
      <c r="N8" s="24" t="s">
        <v>264</v>
      </c>
    </row>
    <row r="9" spans="1:16" s="53" customFormat="1" ht="30" x14ac:dyDescent="0.3">
      <c r="A9" s="37"/>
      <c r="B9" s="49" t="s">
        <v>34</v>
      </c>
      <c r="C9" s="37"/>
      <c r="D9" s="37" t="s">
        <v>58</v>
      </c>
      <c r="E9" s="51">
        <v>137</v>
      </c>
      <c r="F9" s="52">
        <f>E9*F8</f>
        <v>0.41100000000000003</v>
      </c>
      <c r="G9" s="52"/>
      <c r="H9" s="48"/>
      <c r="I9" s="52"/>
      <c r="J9" s="52"/>
      <c r="K9" s="52"/>
      <c r="L9" s="48"/>
      <c r="M9" s="52"/>
      <c r="N9" s="52" t="s">
        <v>264</v>
      </c>
    </row>
    <row r="10" spans="1:16" s="53" customFormat="1" x14ac:dyDescent="0.3">
      <c r="A10" s="37"/>
      <c r="B10" s="74" t="s">
        <v>44</v>
      </c>
      <c r="C10" s="50"/>
      <c r="D10" s="37" t="s">
        <v>45</v>
      </c>
      <c r="E10" s="51">
        <v>28.3</v>
      </c>
      <c r="F10" s="52">
        <f>E10*F8</f>
        <v>8.4900000000000003E-2</v>
      </c>
      <c r="G10" s="52"/>
      <c r="H10" s="52"/>
      <c r="I10" s="52"/>
      <c r="J10" s="52"/>
      <c r="K10" s="52"/>
      <c r="L10" s="48"/>
      <c r="M10" s="52"/>
      <c r="N10" s="52" t="s">
        <v>264</v>
      </c>
    </row>
    <row r="11" spans="1:16" s="62" customFormat="1" ht="18" x14ac:dyDescent="0.25">
      <c r="A11" s="55"/>
      <c r="B11" s="56" t="s">
        <v>40</v>
      </c>
      <c r="C11" s="57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1"/>
    </row>
    <row r="12" spans="1:16" s="70" customFormat="1" ht="18" x14ac:dyDescent="0.25">
      <c r="A12" s="65"/>
      <c r="B12" s="71" t="s">
        <v>105</v>
      </c>
      <c r="C12" s="50" t="s">
        <v>106</v>
      </c>
      <c r="D12" s="67" t="s">
        <v>41</v>
      </c>
      <c r="E12" s="68">
        <v>102</v>
      </c>
      <c r="F12" s="48">
        <f>E12*F8</f>
        <v>0.30599999999999999</v>
      </c>
      <c r="G12" s="48"/>
      <c r="H12" s="48"/>
      <c r="I12" s="48"/>
      <c r="J12" s="48"/>
      <c r="K12" s="48"/>
      <c r="L12" s="48"/>
      <c r="M12" s="48"/>
      <c r="N12" s="48" t="s">
        <v>264</v>
      </c>
      <c r="O12" s="69"/>
      <c r="P12" s="69"/>
    </row>
    <row r="13" spans="1:16" s="62" customFormat="1" ht="18" x14ac:dyDescent="0.25">
      <c r="A13" s="55"/>
      <c r="B13" s="63" t="s">
        <v>49</v>
      </c>
      <c r="C13" s="57"/>
      <c r="D13" s="58" t="s">
        <v>45</v>
      </c>
      <c r="E13" s="59">
        <v>62</v>
      </c>
      <c r="F13" s="60">
        <f>E13*F8</f>
        <v>0.186</v>
      </c>
      <c r="G13" s="48"/>
      <c r="H13" s="60"/>
      <c r="I13" s="60"/>
      <c r="J13" s="60"/>
      <c r="K13" s="60"/>
      <c r="L13" s="60"/>
      <c r="M13" s="60"/>
      <c r="N13" s="48" t="s">
        <v>264</v>
      </c>
      <c r="O13" s="61"/>
      <c r="P13" s="61"/>
    </row>
    <row r="14" spans="1:16" s="27" customFormat="1" ht="60" x14ac:dyDescent="0.3">
      <c r="A14" s="20">
        <v>2</v>
      </c>
      <c r="B14" s="21" t="s">
        <v>107</v>
      </c>
      <c r="C14" s="22" t="s">
        <v>108</v>
      </c>
      <c r="D14" s="23" t="s">
        <v>101</v>
      </c>
      <c r="E14" s="7"/>
      <c r="F14" s="72">
        <f>0.45/100</f>
        <v>4.5000000000000005E-3</v>
      </c>
      <c r="G14" s="24"/>
      <c r="H14" s="25"/>
      <c r="I14" s="24"/>
      <c r="J14" s="26"/>
      <c r="K14" s="24"/>
      <c r="L14" s="25"/>
      <c r="M14" s="26"/>
      <c r="N14" s="24" t="s">
        <v>264</v>
      </c>
    </row>
    <row r="15" spans="1:16" s="53" customFormat="1" ht="30" x14ac:dyDescent="0.3">
      <c r="A15" s="37"/>
      <c r="B15" s="49" t="s">
        <v>34</v>
      </c>
      <c r="C15" s="37"/>
      <c r="D15" s="37" t="s">
        <v>35</v>
      </c>
      <c r="E15" s="51">
        <v>1460</v>
      </c>
      <c r="F15" s="52">
        <f>E15*F14</f>
        <v>6.5700000000000012</v>
      </c>
      <c r="G15" s="52"/>
      <c r="H15" s="48"/>
      <c r="I15" s="52"/>
      <c r="J15" s="52"/>
      <c r="K15" s="52"/>
      <c r="L15" s="48"/>
      <c r="M15" s="52"/>
      <c r="N15" s="52" t="s">
        <v>264</v>
      </c>
    </row>
    <row r="16" spans="1:16" s="53" customFormat="1" x14ac:dyDescent="0.3">
      <c r="A16" s="37"/>
      <c r="B16" s="74" t="s">
        <v>44</v>
      </c>
      <c r="C16" s="50"/>
      <c r="D16" s="37" t="s">
        <v>45</v>
      </c>
      <c r="E16" s="51">
        <v>93</v>
      </c>
      <c r="F16" s="52">
        <f>E16*F14</f>
        <v>0.41850000000000004</v>
      </c>
      <c r="G16" s="52"/>
      <c r="H16" s="52"/>
      <c r="I16" s="52"/>
      <c r="J16" s="52"/>
      <c r="K16" s="52"/>
      <c r="L16" s="48"/>
      <c r="M16" s="52"/>
      <c r="N16" s="52" t="s">
        <v>264</v>
      </c>
    </row>
    <row r="17" spans="1:16" s="62" customFormat="1" ht="18" x14ac:dyDescent="0.25">
      <c r="A17" s="55"/>
      <c r="B17" s="56" t="s">
        <v>40</v>
      </c>
      <c r="C17" s="57"/>
      <c r="D17" s="5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1"/>
    </row>
    <row r="18" spans="1:16" s="62" customFormat="1" ht="18" x14ac:dyDescent="0.25">
      <c r="A18" s="55"/>
      <c r="B18" s="63" t="s">
        <v>109</v>
      </c>
      <c r="C18" s="57" t="s">
        <v>110</v>
      </c>
      <c r="D18" s="58" t="s">
        <v>41</v>
      </c>
      <c r="E18" s="59">
        <v>101.5</v>
      </c>
      <c r="F18" s="60">
        <f>E18*F14</f>
        <v>0.45675000000000004</v>
      </c>
      <c r="G18" s="48"/>
      <c r="H18" s="60"/>
      <c r="I18" s="60"/>
      <c r="J18" s="60"/>
      <c r="K18" s="60"/>
      <c r="L18" s="60"/>
      <c r="M18" s="60"/>
      <c r="N18" s="48" t="s">
        <v>264</v>
      </c>
      <c r="O18" s="61"/>
      <c r="P18" s="61"/>
    </row>
    <row r="19" spans="1:16" s="62" customFormat="1" ht="30" x14ac:dyDescent="0.25">
      <c r="A19" s="55"/>
      <c r="B19" s="49" t="s">
        <v>176</v>
      </c>
      <c r="C19" s="57" t="s">
        <v>111</v>
      </c>
      <c r="D19" s="58" t="s">
        <v>112</v>
      </c>
      <c r="E19" s="59" t="s">
        <v>113</v>
      </c>
      <c r="F19" s="48">
        <f>30/1000</f>
        <v>0.03</v>
      </c>
      <c r="G19" s="48"/>
      <c r="H19" s="60"/>
      <c r="I19" s="60"/>
      <c r="J19" s="60"/>
      <c r="K19" s="60"/>
      <c r="L19" s="60"/>
      <c r="M19" s="60"/>
      <c r="N19" s="48" t="s">
        <v>265</v>
      </c>
      <c r="O19" s="61"/>
      <c r="P19" s="61"/>
    </row>
    <row r="20" spans="1:16" s="62" customFormat="1" ht="18" x14ac:dyDescent="0.25">
      <c r="A20" s="55"/>
      <c r="B20" s="63" t="s">
        <v>114</v>
      </c>
      <c r="C20" s="57" t="s">
        <v>115</v>
      </c>
      <c r="D20" s="58" t="s">
        <v>116</v>
      </c>
      <c r="E20" s="59">
        <v>288</v>
      </c>
      <c r="F20" s="60">
        <f>E20*F14</f>
        <v>1.2960000000000003</v>
      </c>
      <c r="G20" s="48"/>
      <c r="H20" s="60"/>
      <c r="I20" s="60"/>
      <c r="J20" s="60"/>
      <c r="K20" s="60"/>
      <c r="L20" s="60"/>
      <c r="M20" s="60"/>
      <c r="N20" s="48" t="s">
        <v>264</v>
      </c>
      <c r="O20" s="61"/>
      <c r="P20" s="61"/>
    </row>
    <row r="21" spans="1:16" s="62" customFormat="1" ht="18" x14ac:dyDescent="0.25">
      <c r="A21" s="55"/>
      <c r="B21" s="63" t="s">
        <v>117</v>
      </c>
      <c r="C21" s="57" t="s">
        <v>118</v>
      </c>
      <c r="D21" s="58" t="s">
        <v>41</v>
      </c>
      <c r="E21" s="59">
        <f>0.53+0.92+6.4</f>
        <v>7.8500000000000005</v>
      </c>
      <c r="F21" s="60">
        <f>E21*F14</f>
        <v>3.5325000000000009E-2</v>
      </c>
      <c r="G21" s="48"/>
      <c r="H21" s="60"/>
      <c r="I21" s="60"/>
      <c r="J21" s="60"/>
      <c r="K21" s="60"/>
      <c r="L21" s="60"/>
      <c r="M21" s="60"/>
      <c r="N21" s="48" t="s">
        <v>264</v>
      </c>
      <c r="O21" s="61"/>
      <c r="P21" s="61"/>
    </row>
    <row r="22" spans="1:16" s="62" customFormat="1" ht="18" x14ac:dyDescent="0.25">
      <c r="A22" s="55"/>
      <c r="B22" s="63" t="s">
        <v>49</v>
      </c>
      <c r="C22" s="57"/>
      <c r="D22" s="58" t="s">
        <v>45</v>
      </c>
      <c r="E22" s="59">
        <v>296</v>
      </c>
      <c r="F22" s="60">
        <f>E22*F14</f>
        <v>1.3320000000000001</v>
      </c>
      <c r="G22" s="48"/>
      <c r="H22" s="60"/>
      <c r="I22" s="60"/>
      <c r="J22" s="60"/>
      <c r="K22" s="60"/>
      <c r="L22" s="60"/>
      <c r="M22" s="60"/>
      <c r="N22" s="48" t="s">
        <v>264</v>
      </c>
      <c r="O22" s="61"/>
      <c r="P22" s="61"/>
    </row>
    <row r="23" spans="1:16" s="27" customFormat="1" ht="73.5" customHeight="1" x14ac:dyDescent="0.3">
      <c r="A23" s="20">
        <v>3</v>
      </c>
      <c r="B23" s="21" t="s">
        <v>119</v>
      </c>
      <c r="C23" s="22" t="s">
        <v>108</v>
      </c>
      <c r="D23" s="23" t="s">
        <v>101</v>
      </c>
      <c r="E23" s="7"/>
      <c r="F23" s="72">
        <f>0.8/100</f>
        <v>8.0000000000000002E-3</v>
      </c>
      <c r="G23" s="24"/>
      <c r="H23" s="25"/>
      <c r="I23" s="24"/>
      <c r="J23" s="26"/>
      <c r="K23" s="24"/>
      <c r="L23" s="25"/>
      <c r="M23" s="26"/>
      <c r="N23" s="24" t="s">
        <v>264</v>
      </c>
    </row>
    <row r="24" spans="1:16" s="53" customFormat="1" ht="30" x14ac:dyDescent="0.3">
      <c r="A24" s="37"/>
      <c r="B24" s="49" t="s">
        <v>34</v>
      </c>
      <c r="C24" s="37"/>
      <c r="D24" s="37" t="s">
        <v>35</v>
      </c>
      <c r="E24" s="51">
        <v>1460</v>
      </c>
      <c r="F24" s="52">
        <f>E24*F23</f>
        <v>11.68</v>
      </c>
      <c r="G24" s="52"/>
      <c r="H24" s="48"/>
      <c r="I24" s="52"/>
      <c r="J24" s="52"/>
      <c r="K24" s="52"/>
      <c r="L24" s="48"/>
      <c r="M24" s="52"/>
      <c r="N24" s="52" t="s">
        <v>264</v>
      </c>
    </row>
    <row r="25" spans="1:16" s="53" customFormat="1" x14ac:dyDescent="0.3">
      <c r="A25" s="37"/>
      <c r="B25" s="74" t="s">
        <v>44</v>
      </c>
      <c r="C25" s="50"/>
      <c r="D25" s="37" t="s">
        <v>45</v>
      </c>
      <c r="E25" s="51">
        <v>93</v>
      </c>
      <c r="F25" s="52">
        <f>E25*F23</f>
        <v>0.74399999999999999</v>
      </c>
      <c r="G25" s="52"/>
      <c r="H25" s="52"/>
      <c r="I25" s="52"/>
      <c r="J25" s="52"/>
      <c r="K25" s="52"/>
      <c r="L25" s="48"/>
      <c r="M25" s="52"/>
      <c r="N25" s="52" t="s">
        <v>264</v>
      </c>
    </row>
    <row r="26" spans="1:16" s="62" customFormat="1" ht="18" x14ac:dyDescent="0.25">
      <c r="A26" s="55"/>
      <c r="B26" s="56" t="s">
        <v>40</v>
      </c>
      <c r="C26" s="57"/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61"/>
    </row>
    <row r="27" spans="1:16" s="62" customFormat="1" ht="18" x14ac:dyDescent="0.25">
      <c r="A27" s="55"/>
      <c r="B27" s="63" t="s">
        <v>109</v>
      </c>
      <c r="C27" s="57" t="s">
        <v>110</v>
      </c>
      <c r="D27" s="58" t="s">
        <v>41</v>
      </c>
      <c r="E27" s="59">
        <v>101.5</v>
      </c>
      <c r="F27" s="60">
        <f>E27*F23</f>
        <v>0.81200000000000006</v>
      </c>
      <c r="G27" s="48"/>
      <c r="H27" s="60"/>
      <c r="I27" s="60"/>
      <c r="J27" s="60"/>
      <c r="K27" s="60"/>
      <c r="L27" s="60"/>
      <c r="M27" s="60"/>
      <c r="N27" s="48" t="s">
        <v>264</v>
      </c>
      <c r="O27" s="61"/>
      <c r="P27" s="61"/>
    </row>
    <row r="28" spans="1:16" s="62" customFormat="1" ht="30" x14ac:dyDescent="0.25">
      <c r="A28" s="55"/>
      <c r="B28" s="122" t="s">
        <v>177</v>
      </c>
      <c r="C28" s="57" t="s">
        <v>111</v>
      </c>
      <c r="D28" s="58" t="s">
        <v>120</v>
      </c>
      <c r="E28" s="59" t="s">
        <v>113</v>
      </c>
      <c r="F28" s="48">
        <f>70/1000</f>
        <v>7.0000000000000007E-2</v>
      </c>
      <c r="G28" s="48"/>
      <c r="H28" s="60"/>
      <c r="I28" s="60"/>
      <c r="J28" s="60"/>
      <c r="K28" s="60"/>
      <c r="L28" s="60"/>
      <c r="M28" s="60"/>
      <c r="N28" s="48" t="s">
        <v>265</v>
      </c>
      <c r="O28" s="61"/>
      <c r="P28" s="61"/>
    </row>
    <row r="29" spans="1:16" s="62" customFormat="1" ht="18" x14ac:dyDescent="0.25">
      <c r="A29" s="55"/>
      <c r="B29" s="63" t="s">
        <v>114</v>
      </c>
      <c r="C29" s="57" t="s">
        <v>115</v>
      </c>
      <c r="D29" s="58" t="s">
        <v>116</v>
      </c>
      <c r="E29" s="59">
        <v>288</v>
      </c>
      <c r="F29" s="60">
        <f>E29*F23</f>
        <v>2.3040000000000003</v>
      </c>
      <c r="G29" s="48"/>
      <c r="H29" s="60"/>
      <c r="I29" s="60"/>
      <c r="J29" s="60"/>
      <c r="K29" s="60"/>
      <c r="L29" s="60"/>
      <c r="M29" s="60"/>
      <c r="N29" s="48" t="s">
        <v>264</v>
      </c>
      <c r="O29" s="61"/>
      <c r="P29" s="61"/>
    </row>
    <row r="30" spans="1:16" s="62" customFormat="1" ht="18" x14ac:dyDescent="0.25">
      <c r="A30" s="55"/>
      <c r="B30" s="63" t="s">
        <v>121</v>
      </c>
      <c r="C30" s="57" t="s">
        <v>118</v>
      </c>
      <c r="D30" s="58" t="s">
        <v>41</v>
      </c>
      <c r="E30" s="59">
        <f>0.53+0.92+6.4</f>
        <v>7.8500000000000005</v>
      </c>
      <c r="F30" s="60">
        <f>E30*F23</f>
        <v>6.2800000000000009E-2</v>
      </c>
      <c r="G30" s="48"/>
      <c r="H30" s="60"/>
      <c r="I30" s="60"/>
      <c r="J30" s="60"/>
      <c r="K30" s="60"/>
      <c r="L30" s="60"/>
      <c r="M30" s="60"/>
      <c r="N30" s="48" t="s">
        <v>264</v>
      </c>
      <c r="O30" s="61"/>
      <c r="P30" s="61"/>
    </row>
    <row r="31" spans="1:16" s="62" customFormat="1" ht="18" x14ac:dyDescent="0.25">
      <c r="A31" s="55"/>
      <c r="B31" s="63" t="s">
        <v>49</v>
      </c>
      <c r="C31" s="57"/>
      <c r="D31" s="58" t="s">
        <v>45</v>
      </c>
      <c r="E31" s="59">
        <v>296</v>
      </c>
      <c r="F31" s="60">
        <f>E31*F23</f>
        <v>2.3679999999999999</v>
      </c>
      <c r="G31" s="48"/>
      <c r="H31" s="60"/>
      <c r="I31" s="60"/>
      <c r="J31" s="60"/>
      <c r="K31" s="60"/>
      <c r="L31" s="60"/>
      <c r="M31" s="60"/>
      <c r="N31" s="48" t="s">
        <v>264</v>
      </c>
      <c r="O31" s="61"/>
      <c r="P31" s="61"/>
    </row>
    <row r="32" spans="1:16" s="27" customFormat="1" ht="60" x14ac:dyDescent="0.3">
      <c r="A32" s="20">
        <v>4</v>
      </c>
      <c r="B32" s="21" t="s">
        <v>122</v>
      </c>
      <c r="C32" s="22" t="s">
        <v>123</v>
      </c>
      <c r="D32" s="23" t="s">
        <v>64</v>
      </c>
      <c r="E32" s="7"/>
      <c r="F32" s="72">
        <v>0.1</v>
      </c>
      <c r="G32" s="24"/>
      <c r="H32" s="25"/>
      <c r="I32" s="24"/>
      <c r="J32" s="26"/>
      <c r="K32" s="24"/>
      <c r="L32" s="25"/>
      <c r="M32" s="26"/>
      <c r="N32" s="24" t="s">
        <v>264</v>
      </c>
    </row>
    <row r="33" spans="1:16" s="53" customFormat="1" ht="30" x14ac:dyDescent="0.3">
      <c r="A33" s="37"/>
      <c r="B33" s="49" t="s">
        <v>34</v>
      </c>
      <c r="C33" s="37"/>
      <c r="D33" s="37" t="s">
        <v>58</v>
      </c>
      <c r="E33" s="51">
        <v>2.9</v>
      </c>
      <c r="F33" s="52">
        <f>E33*F32</f>
        <v>0.28999999999999998</v>
      </c>
      <c r="G33" s="52"/>
      <c r="H33" s="48"/>
      <c r="I33" s="52"/>
      <c r="J33" s="52"/>
      <c r="K33" s="52"/>
      <c r="L33" s="48"/>
      <c r="M33" s="52"/>
      <c r="N33" s="52" t="s">
        <v>264</v>
      </c>
    </row>
    <row r="34" spans="1:16" s="62" customFormat="1" ht="18" x14ac:dyDescent="0.25">
      <c r="A34" s="55"/>
      <c r="B34" s="56" t="s">
        <v>40</v>
      </c>
      <c r="C34" s="57"/>
      <c r="D34" s="58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1"/>
    </row>
    <row r="35" spans="1:16" s="62" customFormat="1" ht="18" x14ac:dyDescent="0.25">
      <c r="A35" s="55"/>
      <c r="B35" s="63" t="s">
        <v>124</v>
      </c>
      <c r="C35" s="57" t="s">
        <v>125</v>
      </c>
      <c r="D35" s="58" t="s">
        <v>41</v>
      </c>
      <c r="E35" s="59">
        <v>1.02</v>
      </c>
      <c r="F35" s="60">
        <f>E35*F32</f>
        <v>0.10200000000000001</v>
      </c>
      <c r="G35" s="48"/>
      <c r="H35" s="60"/>
      <c r="I35" s="60"/>
      <c r="J35" s="60"/>
      <c r="K35" s="60"/>
      <c r="L35" s="60"/>
      <c r="M35" s="60"/>
      <c r="N35" s="48" t="s">
        <v>264</v>
      </c>
      <c r="O35" s="61"/>
      <c r="P35" s="61"/>
    </row>
    <row r="36" spans="1:16" s="62" customFormat="1" ht="18" x14ac:dyDescent="0.25">
      <c r="A36" s="55"/>
      <c r="B36" s="63" t="s">
        <v>49</v>
      </c>
      <c r="C36" s="57"/>
      <c r="D36" s="58" t="s">
        <v>45</v>
      </c>
      <c r="E36" s="59">
        <v>0.88</v>
      </c>
      <c r="F36" s="60">
        <f>E36*F32</f>
        <v>8.8000000000000009E-2</v>
      </c>
      <c r="G36" s="48"/>
      <c r="H36" s="60"/>
      <c r="I36" s="60"/>
      <c r="J36" s="60"/>
      <c r="K36" s="60"/>
      <c r="L36" s="60"/>
      <c r="M36" s="60"/>
      <c r="N36" s="48" t="s">
        <v>264</v>
      </c>
      <c r="O36" s="61"/>
      <c r="P36" s="61"/>
    </row>
    <row r="37" spans="1:16" s="27" customFormat="1" ht="45" x14ac:dyDescent="0.3">
      <c r="A37" s="20">
        <v>5</v>
      </c>
      <c r="B37" s="21" t="s">
        <v>134</v>
      </c>
      <c r="C37" s="22" t="s">
        <v>135</v>
      </c>
      <c r="D37" s="23" t="s">
        <v>136</v>
      </c>
      <c r="E37" s="7"/>
      <c r="F37" s="72">
        <v>0.5</v>
      </c>
      <c r="G37" s="24"/>
      <c r="H37" s="25"/>
      <c r="I37" s="24"/>
      <c r="J37" s="26"/>
      <c r="K37" s="24"/>
      <c r="L37" s="25"/>
      <c r="M37" s="26"/>
      <c r="N37" s="24" t="s">
        <v>264</v>
      </c>
    </row>
    <row r="38" spans="1:16" s="90" customFormat="1" ht="30" x14ac:dyDescent="0.25">
      <c r="A38" s="88"/>
      <c r="B38" s="74" t="s">
        <v>127</v>
      </c>
      <c r="C38" s="88"/>
      <c r="D38" s="89" t="s">
        <v>137</v>
      </c>
      <c r="E38" s="89">
        <f>68/100</f>
        <v>0.68</v>
      </c>
      <c r="F38" s="56">
        <f>E38*F37</f>
        <v>0.34</v>
      </c>
      <c r="G38" s="56"/>
      <c r="H38" s="56"/>
      <c r="I38" s="56"/>
      <c r="J38" s="56"/>
      <c r="K38" s="56"/>
      <c r="L38" s="56"/>
      <c r="M38" s="56"/>
      <c r="N38" s="56" t="s">
        <v>264</v>
      </c>
    </row>
    <row r="39" spans="1:16" s="90" customFormat="1" x14ac:dyDescent="0.25">
      <c r="A39" s="91"/>
      <c r="B39" s="74" t="s">
        <v>44</v>
      </c>
      <c r="C39" s="88"/>
      <c r="D39" s="56" t="s">
        <v>45</v>
      </c>
      <c r="E39" s="92">
        <f>0.03/100</f>
        <v>2.9999999999999997E-4</v>
      </c>
      <c r="F39" s="92">
        <f>E39*F37</f>
        <v>1.4999999999999999E-4</v>
      </c>
      <c r="G39" s="56"/>
      <c r="H39" s="56"/>
      <c r="I39" s="56"/>
      <c r="J39" s="56"/>
      <c r="K39" s="56"/>
      <c r="L39" s="89"/>
      <c r="M39" s="89"/>
      <c r="N39" s="56" t="s">
        <v>264</v>
      </c>
    </row>
    <row r="40" spans="1:16" s="94" customFormat="1" x14ac:dyDescent="0.25">
      <c r="A40" s="93"/>
      <c r="B40" s="88" t="s">
        <v>40</v>
      </c>
      <c r="C40" s="88"/>
      <c r="D40" s="89"/>
      <c r="E40" s="89"/>
      <c r="F40" s="56"/>
      <c r="G40" s="56"/>
      <c r="H40" s="56"/>
      <c r="I40" s="56"/>
      <c r="J40" s="56"/>
      <c r="K40" s="56"/>
      <c r="L40" s="56"/>
      <c r="M40" s="56"/>
      <c r="N40" s="56"/>
    </row>
    <row r="41" spans="1:16" s="62" customFormat="1" ht="18" x14ac:dyDescent="0.25">
      <c r="A41" s="55"/>
      <c r="B41" s="63" t="s">
        <v>138</v>
      </c>
      <c r="C41" s="57" t="s">
        <v>139</v>
      </c>
      <c r="D41" s="58" t="s">
        <v>133</v>
      </c>
      <c r="E41" s="59">
        <f>(25.1+0.2+2.7)/100</f>
        <v>0.28000000000000003</v>
      </c>
      <c r="F41" s="60">
        <f>E41*F37</f>
        <v>0.14000000000000001</v>
      </c>
      <c r="G41" s="48"/>
      <c r="H41" s="60"/>
      <c r="I41" s="60"/>
      <c r="J41" s="60"/>
      <c r="K41" s="60"/>
      <c r="L41" s="60"/>
      <c r="M41" s="60"/>
      <c r="N41" s="48" t="s">
        <v>264</v>
      </c>
      <c r="O41" s="61"/>
      <c r="P41" s="61"/>
    </row>
    <row r="42" spans="1:16" s="62" customFormat="1" ht="18" x14ac:dyDescent="0.25">
      <c r="A42" s="55"/>
      <c r="B42" s="63" t="s">
        <v>49</v>
      </c>
      <c r="C42" s="57"/>
      <c r="D42" s="58" t="s">
        <v>45</v>
      </c>
      <c r="E42" s="59">
        <f>0.19/100</f>
        <v>1.9E-3</v>
      </c>
      <c r="F42" s="59">
        <f>E42*F37</f>
        <v>9.5E-4</v>
      </c>
      <c r="G42" s="48"/>
      <c r="H42" s="60"/>
      <c r="I42" s="60"/>
      <c r="J42" s="60"/>
      <c r="K42" s="60"/>
      <c r="L42" s="60"/>
      <c r="M42" s="60"/>
      <c r="N42" s="48" t="s">
        <v>264</v>
      </c>
      <c r="O42" s="61"/>
      <c r="P42" s="61"/>
    </row>
    <row r="43" spans="1:16" s="27" customFormat="1" ht="30" x14ac:dyDescent="0.3">
      <c r="A43" s="20">
        <v>6</v>
      </c>
      <c r="B43" s="21" t="s">
        <v>140</v>
      </c>
      <c r="C43" s="22" t="s">
        <v>126</v>
      </c>
      <c r="D43" s="23" t="s">
        <v>112</v>
      </c>
      <c r="E43" s="7"/>
      <c r="F43" s="72">
        <f>100/1000</f>
        <v>0.1</v>
      </c>
      <c r="G43" s="24"/>
      <c r="H43" s="25"/>
      <c r="I43" s="24"/>
      <c r="J43" s="26"/>
      <c r="K43" s="24"/>
      <c r="L43" s="25"/>
      <c r="M43" s="26"/>
      <c r="N43" s="24" t="s">
        <v>264</v>
      </c>
    </row>
    <row r="44" spans="1:16" s="90" customFormat="1" ht="30" x14ac:dyDescent="0.25">
      <c r="A44" s="88"/>
      <c r="B44" s="74" t="s">
        <v>127</v>
      </c>
      <c r="C44" s="88"/>
      <c r="D44" s="89" t="s">
        <v>137</v>
      </c>
      <c r="E44" s="89">
        <v>53.8</v>
      </c>
      <c r="F44" s="56">
        <f>E44*F43</f>
        <v>5.38</v>
      </c>
      <c r="G44" s="56"/>
      <c r="H44" s="56"/>
      <c r="I44" s="56"/>
      <c r="J44" s="56"/>
      <c r="K44" s="56"/>
      <c r="L44" s="56"/>
      <c r="M44" s="56"/>
      <c r="N44" s="56" t="s">
        <v>264</v>
      </c>
    </row>
    <row r="45" spans="1:16" s="53" customFormat="1" ht="30" x14ac:dyDescent="0.3">
      <c r="A45" s="37"/>
      <c r="B45" s="49" t="s">
        <v>128</v>
      </c>
      <c r="C45" s="50" t="s">
        <v>129</v>
      </c>
      <c r="D45" s="37" t="s">
        <v>31</v>
      </c>
      <c r="E45" s="51">
        <v>0.35</v>
      </c>
      <c r="F45" s="52">
        <f>E45*F43</f>
        <v>3.4999999999999996E-2</v>
      </c>
      <c r="G45" s="52"/>
      <c r="H45" s="52"/>
      <c r="I45" s="52"/>
      <c r="J45" s="52"/>
      <c r="K45" s="52"/>
      <c r="L45" s="48"/>
      <c r="M45" s="52"/>
      <c r="N45" s="52" t="s">
        <v>264</v>
      </c>
    </row>
    <row r="46" spans="1:16" s="90" customFormat="1" x14ac:dyDescent="0.25">
      <c r="A46" s="91"/>
      <c r="B46" s="74" t="s">
        <v>44</v>
      </c>
      <c r="C46" s="88"/>
      <c r="D46" s="56" t="s">
        <v>45</v>
      </c>
      <c r="E46" s="89">
        <v>18.399999999999999</v>
      </c>
      <c r="F46" s="56">
        <f>E46*F43</f>
        <v>1.8399999999999999</v>
      </c>
      <c r="G46" s="56"/>
      <c r="H46" s="56"/>
      <c r="I46" s="56"/>
      <c r="J46" s="56"/>
      <c r="K46" s="56"/>
      <c r="L46" s="56"/>
      <c r="M46" s="56"/>
      <c r="N46" s="56" t="s">
        <v>264</v>
      </c>
    </row>
    <row r="47" spans="1:16" s="94" customFormat="1" x14ac:dyDescent="0.25">
      <c r="A47" s="93"/>
      <c r="B47" s="88" t="s">
        <v>40</v>
      </c>
      <c r="C47" s="88"/>
      <c r="D47" s="89"/>
      <c r="E47" s="89"/>
      <c r="F47" s="56"/>
      <c r="G47" s="56"/>
      <c r="H47" s="56"/>
      <c r="I47" s="56"/>
      <c r="J47" s="56"/>
      <c r="K47" s="56"/>
      <c r="L47" s="56"/>
      <c r="M47" s="56"/>
      <c r="N47" s="56"/>
    </row>
    <row r="48" spans="1:16" s="62" customFormat="1" ht="30" x14ac:dyDescent="0.25">
      <c r="A48" s="55"/>
      <c r="B48" s="49" t="s">
        <v>141</v>
      </c>
      <c r="C48" s="57" t="s">
        <v>142</v>
      </c>
      <c r="D48" s="58" t="s">
        <v>120</v>
      </c>
      <c r="E48" s="59">
        <v>1</v>
      </c>
      <c r="F48" s="60">
        <f>E48*F43</f>
        <v>0.1</v>
      </c>
      <c r="G48" s="48"/>
      <c r="H48" s="60"/>
      <c r="I48" s="60"/>
      <c r="J48" s="60"/>
      <c r="K48" s="60"/>
      <c r="L48" s="60"/>
      <c r="M48" s="60"/>
      <c r="N48" s="48" t="s">
        <v>264</v>
      </c>
      <c r="O48" s="61"/>
      <c r="P48" s="61"/>
    </row>
    <row r="49" spans="1:16" s="62" customFormat="1" ht="18" x14ac:dyDescent="0.25">
      <c r="A49" s="55"/>
      <c r="B49" s="49" t="s">
        <v>131</v>
      </c>
      <c r="C49" s="57" t="s">
        <v>132</v>
      </c>
      <c r="D49" s="58" t="s">
        <v>133</v>
      </c>
      <c r="E49" s="59">
        <v>24.4</v>
      </c>
      <c r="F49" s="60">
        <f>E49*F43</f>
        <v>2.44</v>
      </c>
      <c r="G49" s="48"/>
      <c r="H49" s="60"/>
      <c r="I49" s="60"/>
      <c r="J49" s="60"/>
      <c r="K49" s="60"/>
      <c r="L49" s="60"/>
      <c r="M49" s="60"/>
      <c r="N49" s="48" t="s">
        <v>264</v>
      </c>
      <c r="O49" s="61"/>
      <c r="P49" s="61"/>
    </row>
    <row r="50" spans="1:16" s="62" customFormat="1" ht="18" x14ac:dyDescent="0.25">
      <c r="A50" s="55"/>
      <c r="B50" s="63" t="s">
        <v>49</v>
      </c>
      <c r="C50" s="57"/>
      <c r="D50" s="58" t="s">
        <v>45</v>
      </c>
      <c r="E50" s="59">
        <v>2.78</v>
      </c>
      <c r="F50" s="60">
        <f>E50*F43</f>
        <v>0.27799999999999997</v>
      </c>
      <c r="G50" s="48"/>
      <c r="H50" s="60"/>
      <c r="I50" s="60"/>
      <c r="J50" s="60"/>
      <c r="K50" s="60"/>
      <c r="L50" s="60"/>
      <c r="M50" s="60"/>
      <c r="N50" s="48" t="s">
        <v>264</v>
      </c>
      <c r="O50" s="61"/>
      <c r="P50" s="61"/>
    </row>
    <row r="51" spans="1:16" s="27" customFormat="1" ht="45" x14ac:dyDescent="0.3">
      <c r="A51" s="20">
        <v>7</v>
      </c>
      <c r="B51" s="21" t="s">
        <v>184</v>
      </c>
      <c r="C51" s="22" t="s">
        <v>178</v>
      </c>
      <c r="D51" s="23" t="s">
        <v>68</v>
      </c>
      <c r="E51" s="7"/>
      <c r="F51" s="72">
        <f>8/100</f>
        <v>0.08</v>
      </c>
      <c r="G51" s="24"/>
      <c r="H51" s="25"/>
      <c r="I51" s="24"/>
      <c r="J51" s="26"/>
      <c r="K51" s="24"/>
      <c r="L51" s="25"/>
      <c r="M51" s="26"/>
      <c r="N51" s="24" t="s">
        <v>264</v>
      </c>
    </row>
    <row r="52" spans="1:16" s="90" customFormat="1" ht="30" x14ac:dyDescent="0.25">
      <c r="A52" s="88"/>
      <c r="B52" s="74" t="s">
        <v>127</v>
      </c>
      <c r="C52" s="88"/>
      <c r="D52" s="89" t="s">
        <v>66</v>
      </c>
      <c r="E52" s="89">
        <v>56.4</v>
      </c>
      <c r="F52" s="56">
        <f>E52*F51</f>
        <v>4.5119999999999996</v>
      </c>
      <c r="G52" s="56"/>
      <c r="H52" s="56"/>
      <c r="I52" s="56"/>
      <c r="J52" s="56"/>
      <c r="K52" s="56"/>
      <c r="L52" s="56"/>
      <c r="M52" s="56"/>
      <c r="N52" s="56" t="s">
        <v>264</v>
      </c>
    </row>
    <row r="53" spans="1:16" s="90" customFormat="1" x14ac:dyDescent="0.25">
      <c r="A53" s="91"/>
      <c r="B53" s="74" t="s">
        <v>179</v>
      </c>
      <c r="C53" s="88"/>
      <c r="D53" s="56" t="s">
        <v>45</v>
      </c>
      <c r="E53" s="89">
        <v>4.09</v>
      </c>
      <c r="F53" s="56">
        <f>E53*F51</f>
        <v>0.32719999999999999</v>
      </c>
      <c r="G53" s="56"/>
      <c r="H53" s="56"/>
      <c r="I53" s="56"/>
      <c r="J53" s="56"/>
      <c r="K53" s="56"/>
      <c r="L53" s="56"/>
      <c r="M53" s="56"/>
      <c r="N53" s="56" t="s">
        <v>264</v>
      </c>
    </row>
    <row r="54" spans="1:16" s="94" customFormat="1" x14ac:dyDescent="0.25">
      <c r="A54" s="93"/>
      <c r="B54" s="88" t="s">
        <v>67</v>
      </c>
      <c r="C54" s="88"/>
      <c r="D54" s="89"/>
      <c r="E54" s="89"/>
      <c r="F54" s="56"/>
      <c r="G54" s="56"/>
      <c r="H54" s="56"/>
      <c r="I54" s="56"/>
      <c r="J54" s="56"/>
      <c r="K54" s="56"/>
      <c r="L54" s="56"/>
      <c r="M54" s="56"/>
      <c r="N54" s="56"/>
    </row>
    <row r="55" spans="1:16" s="62" customFormat="1" ht="18" x14ac:dyDescent="0.25">
      <c r="A55" s="55"/>
      <c r="B55" s="63" t="s">
        <v>180</v>
      </c>
      <c r="C55" s="57" t="s">
        <v>181</v>
      </c>
      <c r="D55" s="58" t="s">
        <v>112</v>
      </c>
      <c r="E55" s="59">
        <f>0.45</f>
        <v>0.45</v>
      </c>
      <c r="F55" s="60">
        <f>E55*F51</f>
        <v>3.6000000000000004E-2</v>
      </c>
      <c r="G55" s="48"/>
      <c r="H55" s="60"/>
      <c r="I55" s="60"/>
      <c r="J55" s="60"/>
      <c r="K55" s="60"/>
      <c r="L55" s="60"/>
      <c r="M55" s="60"/>
      <c r="N55" s="48" t="s">
        <v>264</v>
      </c>
      <c r="O55" s="61"/>
      <c r="P55" s="61"/>
    </row>
    <row r="56" spans="1:16" s="62" customFormat="1" ht="18" x14ac:dyDescent="0.25">
      <c r="A56" s="55"/>
      <c r="B56" s="63" t="s">
        <v>182</v>
      </c>
      <c r="C56" s="57" t="s">
        <v>183</v>
      </c>
      <c r="D56" s="58" t="s">
        <v>41</v>
      </c>
      <c r="E56" s="59">
        <v>0.75</v>
      </c>
      <c r="F56" s="60">
        <f>E56*F51</f>
        <v>0.06</v>
      </c>
      <c r="G56" s="48"/>
      <c r="H56" s="60"/>
      <c r="I56" s="60"/>
      <c r="J56" s="60"/>
      <c r="K56" s="60"/>
      <c r="L56" s="60"/>
      <c r="M56" s="60"/>
      <c r="N56" s="48" t="s">
        <v>264</v>
      </c>
      <c r="O56" s="61"/>
      <c r="P56" s="61"/>
    </row>
    <row r="57" spans="1:16" s="62" customFormat="1" ht="18" x14ac:dyDescent="0.25">
      <c r="A57" s="55"/>
      <c r="B57" s="63" t="s">
        <v>49</v>
      </c>
      <c r="C57" s="57"/>
      <c r="D57" s="58" t="s">
        <v>45</v>
      </c>
      <c r="E57" s="59">
        <v>26.5</v>
      </c>
      <c r="F57" s="60">
        <f>E57*F51</f>
        <v>2.12</v>
      </c>
      <c r="G57" s="48"/>
      <c r="H57" s="60"/>
      <c r="I57" s="60"/>
      <c r="J57" s="60"/>
      <c r="K57" s="60"/>
      <c r="L57" s="60"/>
      <c r="M57" s="60"/>
      <c r="N57" s="48" t="s">
        <v>264</v>
      </c>
      <c r="O57" s="61"/>
      <c r="P57" s="61"/>
    </row>
    <row r="58" spans="1:16" s="27" customFormat="1" ht="45" x14ac:dyDescent="0.3">
      <c r="A58" s="20">
        <v>8</v>
      </c>
      <c r="B58" s="21" t="s">
        <v>143</v>
      </c>
      <c r="C58" s="22" t="s">
        <v>144</v>
      </c>
      <c r="D58" s="23" t="s">
        <v>21</v>
      </c>
      <c r="E58" s="7"/>
      <c r="F58" s="72">
        <v>1</v>
      </c>
      <c r="G58" s="24"/>
      <c r="H58" s="25"/>
      <c r="I58" s="24"/>
      <c r="J58" s="26"/>
      <c r="K58" s="24"/>
      <c r="L58" s="25"/>
      <c r="M58" s="26"/>
      <c r="N58" s="24" t="s">
        <v>264</v>
      </c>
    </row>
    <row r="59" spans="1:16" s="53" customFormat="1" ht="30" x14ac:dyDescent="0.3">
      <c r="A59" s="37"/>
      <c r="B59" s="49" t="s">
        <v>34</v>
      </c>
      <c r="C59" s="37"/>
      <c r="D59" s="37" t="s">
        <v>58</v>
      </c>
      <c r="E59" s="51">
        <v>1.58</v>
      </c>
      <c r="F59" s="52">
        <f>E59*F58</f>
        <v>1.58</v>
      </c>
      <c r="G59" s="52"/>
      <c r="H59" s="48"/>
      <c r="I59" s="52"/>
      <c r="J59" s="52"/>
      <c r="K59" s="52"/>
      <c r="L59" s="48"/>
      <c r="M59" s="52"/>
      <c r="N59" s="52" t="s">
        <v>264</v>
      </c>
    </row>
    <row r="60" spans="1:16" s="53" customFormat="1" x14ac:dyDescent="0.3">
      <c r="A60" s="37"/>
      <c r="B60" s="74" t="s">
        <v>44</v>
      </c>
      <c r="C60" s="50"/>
      <c r="D60" s="37" t="s">
        <v>45</v>
      </c>
      <c r="E60" s="51">
        <v>0.06</v>
      </c>
      <c r="F60" s="52">
        <f>E60*F58</f>
        <v>0.06</v>
      </c>
      <c r="G60" s="52"/>
      <c r="H60" s="52"/>
      <c r="I60" s="52"/>
      <c r="J60" s="52"/>
      <c r="K60" s="52"/>
      <c r="L60" s="48"/>
      <c r="M60" s="52"/>
      <c r="N60" s="52" t="s">
        <v>264</v>
      </c>
    </row>
    <row r="61" spans="1:16" s="62" customFormat="1" ht="18" x14ac:dyDescent="0.25">
      <c r="A61" s="55"/>
      <c r="B61" s="56" t="s">
        <v>40</v>
      </c>
      <c r="C61" s="57"/>
      <c r="D61" s="58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6" s="62" customFormat="1" ht="18" x14ac:dyDescent="0.3">
      <c r="A62" s="55"/>
      <c r="B62" s="122" t="s">
        <v>145</v>
      </c>
      <c r="C62" s="57" t="s">
        <v>146</v>
      </c>
      <c r="D62" s="58" t="s">
        <v>21</v>
      </c>
      <c r="E62" s="59">
        <v>1</v>
      </c>
      <c r="F62" s="60">
        <f>E62*F58</f>
        <v>1</v>
      </c>
      <c r="G62" s="48"/>
      <c r="H62" s="60"/>
      <c r="I62" s="60"/>
      <c r="J62" s="60"/>
      <c r="K62" s="60"/>
      <c r="L62" s="60"/>
      <c r="M62" s="60"/>
      <c r="N62" s="48" t="s">
        <v>265</v>
      </c>
      <c r="O62" s="53"/>
      <c r="P62" s="53"/>
    </row>
    <row r="63" spans="1:16" s="62" customFormat="1" ht="18" x14ac:dyDescent="0.25">
      <c r="A63" s="55"/>
      <c r="B63" s="63" t="s">
        <v>49</v>
      </c>
      <c r="C63" s="57"/>
      <c r="D63" s="58" t="s">
        <v>45</v>
      </c>
      <c r="E63" s="59">
        <v>0.4</v>
      </c>
      <c r="F63" s="60">
        <f>E63*F58</f>
        <v>0.4</v>
      </c>
      <c r="G63" s="48"/>
      <c r="H63" s="60"/>
      <c r="I63" s="60"/>
      <c r="J63" s="60"/>
      <c r="K63" s="60"/>
      <c r="L63" s="60"/>
      <c r="M63" s="60"/>
      <c r="N63" s="48" t="s">
        <v>264</v>
      </c>
      <c r="O63" s="61"/>
      <c r="P63" s="61"/>
    </row>
    <row r="64" spans="1:16" s="62" customFormat="1" ht="30" x14ac:dyDescent="0.25">
      <c r="A64" s="20">
        <v>9</v>
      </c>
      <c r="B64" s="21" t="s">
        <v>147</v>
      </c>
      <c r="C64" s="22" t="s">
        <v>148</v>
      </c>
      <c r="D64" s="23" t="s">
        <v>21</v>
      </c>
      <c r="E64" s="7"/>
      <c r="F64" s="72">
        <v>1</v>
      </c>
      <c r="G64" s="24"/>
      <c r="H64" s="25"/>
      <c r="I64" s="24"/>
      <c r="J64" s="26"/>
      <c r="K64" s="24"/>
      <c r="L64" s="25"/>
      <c r="M64" s="26"/>
      <c r="N64" s="24" t="s">
        <v>264</v>
      </c>
      <c r="O64" s="61"/>
      <c r="P64" s="61"/>
    </row>
    <row r="65" spans="1:16" s="53" customFormat="1" ht="30" x14ac:dyDescent="0.3">
      <c r="A65" s="37"/>
      <c r="B65" s="49" t="s">
        <v>34</v>
      </c>
      <c r="C65" s="37"/>
      <c r="D65" s="37" t="s">
        <v>58</v>
      </c>
      <c r="E65" s="51">
        <v>3.1</v>
      </c>
      <c r="F65" s="52">
        <f>E65*F64</f>
        <v>3.1</v>
      </c>
      <c r="G65" s="52"/>
      <c r="H65" s="48"/>
      <c r="I65" s="52"/>
      <c r="J65" s="52"/>
      <c r="K65" s="52"/>
      <c r="L65" s="48"/>
      <c r="M65" s="52"/>
      <c r="N65" s="52" t="s">
        <v>264</v>
      </c>
    </row>
    <row r="66" spans="1:16" s="53" customFormat="1" x14ac:dyDescent="0.3">
      <c r="A66" s="37"/>
      <c r="B66" s="74" t="s">
        <v>44</v>
      </c>
      <c r="C66" s="50"/>
      <c r="D66" s="37" t="s">
        <v>45</v>
      </c>
      <c r="E66" s="51">
        <v>1.23</v>
      </c>
      <c r="F66" s="52">
        <f>E66*F64</f>
        <v>1.23</v>
      </c>
      <c r="G66" s="52"/>
      <c r="H66" s="52"/>
      <c r="I66" s="52"/>
      <c r="J66" s="52"/>
      <c r="K66" s="52"/>
      <c r="L66" s="48"/>
      <c r="M66" s="52"/>
      <c r="N66" s="52" t="s">
        <v>264</v>
      </c>
    </row>
    <row r="67" spans="1:16" s="62" customFormat="1" ht="18" x14ac:dyDescent="0.25">
      <c r="A67" s="55"/>
      <c r="B67" s="56" t="s">
        <v>40</v>
      </c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1"/>
    </row>
    <row r="68" spans="1:16" s="62" customFormat="1" ht="30" x14ac:dyDescent="0.25">
      <c r="A68" s="55"/>
      <c r="B68" s="122" t="s">
        <v>149</v>
      </c>
      <c r="C68" s="57" t="s">
        <v>150</v>
      </c>
      <c r="D68" s="58" t="s">
        <v>21</v>
      </c>
      <c r="E68" s="59">
        <v>1</v>
      </c>
      <c r="F68" s="60">
        <f>E68*F64</f>
        <v>1</v>
      </c>
      <c r="G68" s="48"/>
      <c r="H68" s="60"/>
      <c r="I68" s="60"/>
      <c r="J68" s="60"/>
      <c r="K68" s="60"/>
      <c r="L68" s="60"/>
      <c r="M68" s="60"/>
      <c r="N68" s="48" t="s">
        <v>265</v>
      </c>
      <c r="O68" s="61"/>
      <c r="P68" s="61"/>
    </row>
    <row r="69" spans="1:16" s="62" customFormat="1" ht="18" x14ac:dyDescent="0.25">
      <c r="A69" s="55"/>
      <c r="B69" s="63" t="s">
        <v>49</v>
      </c>
      <c r="C69" s="57"/>
      <c r="D69" s="58" t="s">
        <v>45</v>
      </c>
      <c r="E69" s="59">
        <v>1.18</v>
      </c>
      <c r="F69" s="60">
        <f>E69*F64</f>
        <v>1.18</v>
      </c>
      <c r="G69" s="48"/>
      <c r="H69" s="60"/>
      <c r="I69" s="60"/>
      <c r="J69" s="60"/>
      <c r="K69" s="60"/>
      <c r="L69" s="60"/>
      <c r="M69" s="60"/>
      <c r="N69" s="48" t="s">
        <v>264</v>
      </c>
      <c r="O69" s="61"/>
      <c r="P69" s="61"/>
    </row>
    <row r="70" spans="1:16" s="27" customFormat="1" ht="30" x14ac:dyDescent="0.3">
      <c r="A70" s="20">
        <v>10</v>
      </c>
      <c r="B70" s="21" t="s">
        <v>151</v>
      </c>
      <c r="C70" s="22" t="s">
        <v>152</v>
      </c>
      <c r="D70" s="20" t="s">
        <v>153</v>
      </c>
      <c r="E70" s="7"/>
      <c r="F70" s="72">
        <v>1.5</v>
      </c>
      <c r="G70" s="24"/>
      <c r="H70" s="25"/>
      <c r="I70" s="24"/>
      <c r="J70" s="26"/>
      <c r="K70" s="24"/>
      <c r="L70" s="25"/>
      <c r="M70" s="26"/>
      <c r="N70" s="24" t="s">
        <v>264</v>
      </c>
    </row>
    <row r="71" spans="1:16" s="53" customFormat="1" ht="30" x14ac:dyDescent="0.3">
      <c r="A71" s="37"/>
      <c r="B71" s="49" t="s">
        <v>34</v>
      </c>
      <c r="C71" s="37"/>
      <c r="D71" s="37" t="s">
        <v>137</v>
      </c>
      <c r="E71" s="51">
        <f>160/100</f>
        <v>1.6</v>
      </c>
      <c r="F71" s="52">
        <f>E71*F70</f>
        <v>2.4000000000000004</v>
      </c>
      <c r="G71" s="52"/>
      <c r="H71" s="48"/>
      <c r="I71" s="52"/>
      <c r="J71" s="52"/>
      <c r="K71" s="52"/>
      <c r="L71" s="48"/>
      <c r="M71" s="52"/>
      <c r="N71" s="52" t="s">
        <v>264</v>
      </c>
    </row>
    <row r="72" spans="1:16" s="53" customFormat="1" x14ac:dyDescent="0.3">
      <c r="A72" s="37"/>
      <c r="B72" s="74" t="s">
        <v>44</v>
      </c>
      <c r="C72" s="50"/>
      <c r="D72" s="37" t="s">
        <v>45</v>
      </c>
      <c r="E72" s="51">
        <f>14.8/100</f>
        <v>0.14800000000000002</v>
      </c>
      <c r="F72" s="52">
        <f>E72*F70</f>
        <v>0.22200000000000003</v>
      </c>
      <c r="G72" s="52"/>
      <c r="H72" s="52"/>
      <c r="I72" s="52"/>
      <c r="J72" s="52"/>
      <c r="K72" s="52"/>
      <c r="L72" s="48"/>
      <c r="M72" s="52"/>
      <c r="N72" s="52" t="s">
        <v>264</v>
      </c>
    </row>
    <row r="73" spans="1:16" s="62" customFormat="1" ht="18" x14ac:dyDescent="0.25">
      <c r="A73" s="55"/>
      <c r="B73" s="56" t="s">
        <v>40</v>
      </c>
      <c r="C73" s="57"/>
      <c r="D73" s="58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1"/>
    </row>
    <row r="74" spans="1:16" s="62" customFormat="1" ht="18" x14ac:dyDescent="0.25">
      <c r="A74" s="55"/>
      <c r="B74" s="122" t="s">
        <v>154</v>
      </c>
      <c r="C74" s="57" t="s">
        <v>155</v>
      </c>
      <c r="D74" s="58" t="s">
        <v>48</v>
      </c>
      <c r="E74" s="59">
        <v>1</v>
      </c>
      <c r="F74" s="60">
        <f>E74*F70</f>
        <v>1.5</v>
      </c>
      <c r="G74" s="48"/>
      <c r="H74" s="60"/>
      <c r="I74" s="60"/>
      <c r="J74" s="60"/>
      <c r="K74" s="60"/>
      <c r="L74" s="60"/>
      <c r="M74" s="60"/>
      <c r="N74" s="48" t="s">
        <v>265</v>
      </c>
      <c r="O74" s="61"/>
      <c r="P74" s="61"/>
    </row>
    <row r="75" spans="1:16" s="62" customFormat="1" ht="18" x14ac:dyDescent="0.25">
      <c r="A75" s="55"/>
      <c r="B75" s="63" t="s">
        <v>49</v>
      </c>
      <c r="C75" s="57"/>
      <c r="D75" s="58" t="s">
        <v>45</v>
      </c>
      <c r="E75" s="59">
        <f>12.8/100</f>
        <v>0.128</v>
      </c>
      <c r="F75" s="60">
        <f>E75*F70</f>
        <v>0.192</v>
      </c>
      <c r="G75" s="48"/>
      <c r="H75" s="60"/>
      <c r="I75" s="60"/>
      <c r="J75" s="60"/>
      <c r="K75" s="60"/>
      <c r="L75" s="60"/>
      <c r="M75" s="60"/>
      <c r="N75" s="48" t="s">
        <v>264</v>
      </c>
      <c r="O75" s="61"/>
      <c r="P75" s="61"/>
    </row>
    <row r="76" spans="1:16" s="27" customFormat="1" ht="30" x14ac:dyDescent="0.3">
      <c r="A76" s="20">
        <v>11</v>
      </c>
      <c r="B76" s="21" t="s">
        <v>156</v>
      </c>
      <c r="C76" s="22" t="s">
        <v>157</v>
      </c>
      <c r="D76" s="23" t="s">
        <v>21</v>
      </c>
      <c r="E76" s="7"/>
      <c r="F76" s="72">
        <v>2</v>
      </c>
      <c r="G76" s="24"/>
      <c r="H76" s="25"/>
      <c r="I76" s="24"/>
      <c r="J76" s="26"/>
      <c r="K76" s="24"/>
      <c r="L76" s="25"/>
      <c r="M76" s="26"/>
      <c r="N76" s="24" t="s">
        <v>264</v>
      </c>
    </row>
    <row r="77" spans="1:16" s="53" customFormat="1" ht="30" x14ac:dyDescent="0.3">
      <c r="A77" s="37"/>
      <c r="B77" s="49" t="s">
        <v>34</v>
      </c>
      <c r="C77" s="37"/>
      <c r="D77" s="37" t="s">
        <v>58</v>
      </c>
      <c r="E77" s="51">
        <v>0.92</v>
      </c>
      <c r="F77" s="52">
        <f>E77*F76</f>
        <v>1.84</v>
      </c>
      <c r="G77" s="52"/>
      <c r="H77" s="48"/>
      <c r="I77" s="52"/>
      <c r="J77" s="52"/>
      <c r="K77" s="52"/>
      <c r="L77" s="48"/>
      <c r="M77" s="52"/>
      <c r="N77" s="52" t="s">
        <v>264</v>
      </c>
    </row>
    <row r="78" spans="1:16" s="53" customFormat="1" x14ac:dyDescent="0.3">
      <c r="A78" s="37"/>
      <c r="B78" s="74" t="s">
        <v>44</v>
      </c>
      <c r="C78" s="50"/>
      <c r="D78" s="37" t="s">
        <v>45</v>
      </c>
      <c r="E78" s="51">
        <v>0.57999999999999996</v>
      </c>
      <c r="F78" s="52">
        <f>E78*F76</f>
        <v>1.1599999999999999</v>
      </c>
      <c r="G78" s="52"/>
      <c r="H78" s="52"/>
      <c r="I78" s="52"/>
      <c r="J78" s="52"/>
      <c r="K78" s="52"/>
      <c r="L78" s="48"/>
      <c r="M78" s="52"/>
      <c r="N78" s="52" t="s">
        <v>264</v>
      </c>
    </row>
    <row r="79" spans="1:16" s="62" customFormat="1" ht="18" x14ac:dyDescent="0.25">
      <c r="A79" s="55"/>
      <c r="B79" s="56" t="s">
        <v>40</v>
      </c>
      <c r="C79" s="57"/>
      <c r="D79" s="58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61"/>
    </row>
    <row r="80" spans="1:16" s="62" customFormat="1" ht="30" x14ac:dyDescent="0.25">
      <c r="A80" s="55"/>
      <c r="B80" s="122" t="s">
        <v>158</v>
      </c>
      <c r="C80" s="57" t="s">
        <v>159</v>
      </c>
      <c r="D80" s="58" t="s">
        <v>21</v>
      </c>
      <c r="E80" s="59">
        <v>1</v>
      </c>
      <c r="F80" s="60">
        <f>E80*F76</f>
        <v>2</v>
      </c>
      <c r="G80" s="48"/>
      <c r="H80" s="60"/>
      <c r="I80" s="60"/>
      <c r="J80" s="60"/>
      <c r="K80" s="60"/>
      <c r="L80" s="60"/>
      <c r="M80" s="60"/>
      <c r="N80" s="48" t="s">
        <v>265</v>
      </c>
      <c r="O80" s="61"/>
      <c r="P80" s="61"/>
    </row>
    <row r="81" spans="1:16" s="62" customFormat="1" ht="18" x14ac:dyDescent="0.25">
      <c r="A81" s="55"/>
      <c r="B81" s="63" t="s">
        <v>49</v>
      </c>
      <c r="C81" s="57"/>
      <c r="D81" s="58" t="s">
        <v>45</v>
      </c>
      <c r="E81" s="59">
        <v>0.08</v>
      </c>
      <c r="F81" s="60">
        <f>E81*F76</f>
        <v>0.16</v>
      </c>
      <c r="G81" s="48"/>
      <c r="H81" s="60"/>
      <c r="I81" s="60"/>
      <c r="J81" s="60"/>
      <c r="K81" s="60"/>
      <c r="L81" s="60"/>
      <c r="M81" s="60"/>
      <c r="N81" s="48" t="s">
        <v>264</v>
      </c>
      <c r="O81" s="61"/>
      <c r="P81" s="61"/>
    </row>
    <row r="82" spans="1:16" s="53" customFormat="1" ht="30" x14ac:dyDescent="0.3">
      <c r="A82" s="20">
        <v>12</v>
      </c>
      <c r="B82" s="21" t="s">
        <v>185</v>
      </c>
      <c r="C82" s="22" t="s">
        <v>160</v>
      </c>
      <c r="D82" s="23" t="s">
        <v>112</v>
      </c>
      <c r="E82" s="7"/>
      <c r="F82" s="72">
        <f>F86*25/1000</f>
        <v>3.7499999999999999E-3</v>
      </c>
      <c r="G82" s="24"/>
      <c r="H82" s="25"/>
      <c r="I82" s="24"/>
      <c r="J82" s="26"/>
      <c r="K82" s="24"/>
      <c r="L82" s="25"/>
      <c r="M82" s="26"/>
      <c r="N82" s="24" t="s">
        <v>264</v>
      </c>
    </row>
    <row r="83" spans="1:16" s="90" customFormat="1" ht="30" x14ac:dyDescent="0.25">
      <c r="A83" s="88"/>
      <c r="B83" s="74" t="s">
        <v>127</v>
      </c>
      <c r="C83" s="88"/>
      <c r="D83" s="89" t="s">
        <v>58</v>
      </c>
      <c r="E83" s="89">
        <v>305</v>
      </c>
      <c r="F83" s="56">
        <f>E83*F82</f>
        <v>1.14375</v>
      </c>
      <c r="G83" s="56"/>
      <c r="H83" s="56"/>
      <c r="I83" s="56"/>
      <c r="J83" s="56"/>
      <c r="K83" s="56"/>
      <c r="L83" s="56"/>
      <c r="M83" s="56"/>
      <c r="N83" s="56" t="s">
        <v>264</v>
      </c>
    </row>
    <row r="84" spans="1:16" s="90" customFormat="1" x14ac:dyDescent="0.25">
      <c r="A84" s="91"/>
      <c r="B84" s="74" t="s">
        <v>44</v>
      </c>
      <c r="C84" s="88"/>
      <c r="D84" s="56" t="s">
        <v>45</v>
      </c>
      <c r="E84" s="89">
        <v>162</v>
      </c>
      <c r="F84" s="56">
        <f>E84*F82</f>
        <v>0.60749999999999993</v>
      </c>
      <c r="G84" s="56"/>
      <c r="H84" s="56"/>
      <c r="I84" s="56"/>
      <c r="J84" s="56"/>
      <c r="K84" s="56"/>
      <c r="L84" s="56"/>
      <c r="M84" s="56"/>
      <c r="N84" s="56" t="s">
        <v>264</v>
      </c>
    </row>
    <row r="85" spans="1:16" s="94" customFormat="1" x14ac:dyDescent="0.25">
      <c r="A85" s="93"/>
      <c r="B85" s="88" t="s">
        <v>40</v>
      </c>
      <c r="C85" s="88"/>
      <c r="D85" s="89"/>
      <c r="E85" s="89"/>
      <c r="F85" s="56"/>
      <c r="G85" s="56"/>
      <c r="H85" s="56"/>
      <c r="I85" s="56"/>
      <c r="J85" s="56"/>
      <c r="K85" s="56"/>
      <c r="L85" s="56"/>
      <c r="M85" s="56"/>
      <c r="N85" s="56"/>
    </row>
    <row r="86" spans="1:16" s="62" customFormat="1" ht="30" x14ac:dyDescent="0.25">
      <c r="A86" s="55"/>
      <c r="B86" s="49" t="s">
        <v>185</v>
      </c>
      <c r="C86" s="50" t="s">
        <v>47</v>
      </c>
      <c r="D86" s="58" t="s">
        <v>48</v>
      </c>
      <c r="E86" s="59" t="s">
        <v>113</v>
      </c>
      <c r="F86" s="60">
        <v>0.15</v>
      </c>
      <c r="G86" s="48"/>
      <c r="H86" s="60"/>
      <c r="I86" s="60"/>
      <c r="J86" s="60"/>
      <c r="K86" s="60"/>
      <c r="L86" s="60"/>
      <c r="M86" s="60"/>
      <c r="N86" s="48" t="s">
        <v>264</v>
      </c>
      <c r="O86" s="61"/>
      <c r="P86" s="61"/>
    </row>
    <row r="87" spans="1:16" s="62" customFormat="1" ht="18" x14ac:dyDescent="0.25">
      <c r="A87" s="55"/>
      <c r="B87" s="63" t="s">
        <v>49</v>
      </c>
      <c r="C87" s="57"/>
      <c r="D87" s="58" t="s">
        <v>45</v>
      </c>
      <c r="E87" s="59">
        <v>49.2</v>
      </c>
      <c r="F87" s="60">
        <f>E87*F82</f>
        <v>0.1845</v>
      </c>
      <c r="G87" s="48"/>
      <c r="H87" s="60"/>
      <c r="I87" s="60"/>
      <c r="J87" s="60"/>
      <c r="K87" s="60"/>
      <c r="L87" s="60"/>
      <c r="M87" s="60"/>
      <c r="N87" s="48" t="s">
        <v>264</v>
      </c>
      <c r="O87" s="61"/>
      <c r="P87" s="61"/>
    </row>
    <row r="88" spans="1:16" s="27" customFormat="1" ht="60" x14ac:dyDescent="0.3">
      <c r="A88" s="20">
        <v>13</v>
      </c>
      <c r="B88" s="21" t="s">
        <v>161</v>
      </c>
      <c r="C88" s="22" t="s">
        <v>162</v>
      </c>
      <c r="D88" s="20" t="s">
        <v>163</v>
      </c>
      <c r="E88" s="7"/>
      <c r="F88" s="72">
        <v>0.15</v>
      </c>
      <c r="G88" s="24"/>
      <c r="H88" s="25"/>
      <c r="I88" s="24"/>
      <c r="J88" s="26"/>
      <c r="K88" s="24"/>
      <c r="L88" s="25"/>
      <c r="M88" s="26"/>
      <c r="N88" s="24" t="s">
        <v>264</v>
      </c>
    </row>
    <row r="89" spans="1:16" s="53" customFormat="1" ht="30" x14ac:dyDescent="0.3">
      <c r="A89" s="37"/>
      <c r="B89" s="49" t="s">
        <v>34</v>
      </c>
      <c r="C89" s="37"/>
      <c r="D89" s="37" t="s">
        <v>58</v>
      </c>
      <c r="E89" s="51">
        <f>60.9/100</f>
        <v>0.60899999999999999</v>
      </c>
      <c r="F89" s="52">
        <f>E89*F88</f>
        <v>9.1350000000000001E-2</v>
      </c>
      <c r="G89" s="52"/>
      <c r="H89" s="48"/>
      <c r="I89" s="52"/>
      <c r="J89" s="52"/>
      <c r="K89" s="52"/>
      <c r="L89" s="48"/>
      <c r="M89" s="52"/>
      <c r="N89" s="52" t="s">
        <v>264</v>
      </c>
    </row>
    <row r="90" spans="1:16" s="53" customFormat="1" x14ac:dyDescent="0.3">
      <c r="A90" s="37"/>
      <c r="B90" s="74" t="s">
        <v>44</v>
      </c>
      <c r="C90" s="50"/>
      <c r="D90" s="37" t="s">
        <v>45</v>
      </c>
      <c r="E90" s="51">
        <f>0.21/100</f>
        <v>2.0999999999999999E-3</v>
      </c>
      <c r="F90" s="96">
        <f>E90*F88</f>
        <v>3.1499999999999996E-4</v>
      </c>
      <c r="G90" s="52"/>
      <c r="H90" s="52"/>
      <c r="I90" s="52"/>
      <c r="J90" s="52"/>
      <c r="K90" s="52"/>
      <c r="L90" s="68"/>
      <c r="M90" s="51"/>
      <c r="N90" s="52" t="s">
        <v>264</v>
      </c>
    </row>
    <row r="91" spans="1:16" s="62" customFormat="1" ht="18" x14ac:dyDescent="0.25">
      <c r="A91" s="55"/>
      <c r="B91" s="56" t="s">
        <v>40</v>
      </c>
      <c r="C91" s="57"/>
      <c r="D91" s="58"/>
      <c r="E91" s="59"/>
      <c r="F91" s="60"/>
      <c r="G91" s="60"/>
      <c r="H91" s="60"/>
      <c r="I91" s="60"/>
      <c r="J91" s="60"/>
      <c r="K91" s="60"/>
      <c r="L91" s="60"/>
      <c r="M91" s="60"/>
      <c r="N91" s="60"/>
      <c r="O91" s="61"/>
      <c r="P91" s="61"/>
    </row>
    <row r="92" spans="1:16" s="62" customFormat="1" ht="30" x14ac:dyDescent="0.25">
      <c r="A92" s="55"/>
      <c r="B92" s="49" t="s">
        <v>164</v>
      </c>
      <c r="C92" s="57" t="s">
        <v>165</v>
      </c>
      <c r="D92" s="58" t="s">
        <v>48</v>
      </c>
      <c r="E92" s="59">
        <v>1</v>
      </c>
      <c r="F92" s="60">
        <f>E92*F88</f>
        <v>0.15</v>
      </c>
      <c r="G92" s="48"/>
      <c r="H92" s="60"/>
      <c r="I92" s="60"/>
      <c r="J92" s="60"/>
      <c r="K92" s="60"/>
      <c r="L92" s="60"/>
      <c r="M92" s="60"/>
      <c r="N92" s="48" t="s">
        <v>264</v>
      </c>
      <c r="O92" s="61"/>
      <c r="P92" s="61"/>
    </row>
    <row r="93" spans="1:16" s="62" customFormat="1" ht="18" x14ac:dyDescent="0.25">
      <c r="A93" s="55"/>
      <c r="B93" s="63" t="s">
        <v>49</v>
      </c>
      <c r="C93" s="57"/>
      <c r="D93" s="58" t="s">
        <v>45</v>
      </c>
      <c r="E93" s="59">
        <f>15.6/100</f>
        <v>0.156</v>
      </c>
      <c r="F93" s="60">
        <f>E93*F88</f>
        <v>2.3400000000000001E-2</v>
      </c>
      <c r="G93" s="48"/>
      <c r="H93" s="60"/>
      <c r="I93" s="60"/>
      <c r="J93" s="60"/>
      <c r="K93" s="60"/>
      <c r="L93" s="60"/>
      <c r="M93" s="60"/>
      <c r="N93" s="48" t="s">
        <v>264</v>
      </c>
      <c r="O93" s="61"/>
      <c r="P93" s="61"/>
    </row>
    <row r="94" spans="1:16" s="27" customFormat="1" ht="60" x14ac:dyDescent="0.3">
      <c r="A94" s="20">
        <v>14</v>
      </c>
      <c r="B94" s="21" t="s">
        <v>186</v>
      </c>
      <c r="C94" s="22" t="s">
        <v>162</v>
      </c>
      <c r="D94" s="20" t="s">
        <v>163</v>
      </c>
      <c r="E94" s="7"/>
      <c r="F94" s="72">
        <v>0.15</v>
      </c>
      <c r="G94" s="24"/>
      <c r="H94" s="25"/>
      <c r="I94" s="24"/>
      <c r="J94" s="26"/>
      <c r="K94" s="24"/>
      <c r="L94" s="25"/>
      <c r="M94" s="26"/>
      <c r="N94" s="24" t="s">
        <v>264</v>
      </c>
    </row>
    <row r="95" spans="1:16" s="53" customFormat="1" ht="30" x14ac:dyDescent="0.3">
      <c r="A95" s="37"/>
      <c r="B95" s="49" t="s">
        <v>34</v>
      </c>
      <c r="C95" s="37"/>
      <c r="D95" s="37" t="s">
        <v>58</v>
      </c>
      <c r="E95" s="51">
        <f>60.9/100</f>
        <v>0.60899999999999999</v>
      </c>
      <c r="F95" s="52">
        <f>E95*F94</f>
        <v>9.1350000000000001E-2</v>
      </c>
      <c r="G95" s="52"/>
      <c r="H95" s="48"/>
      <c r="I95" s="52"/>
      <c r="J95" s="52"/>
      <c r="K95" s="52"/>
      <c r="L95" s="48"/>
      <c r="M95" s="52"/>
      <c r="N95" s="52" t="s">
        <v>264</v>
      </c>
    </row>
    <row r="96" spans="1:16" s="53" customFormat="1" x14ac:dyDescent="0.3">
      <c r="A96" s="37"/>
      <c r="B96" s="74" t="s">
        <v>44</v>
      </c>
      <c r="C96" s="50"/>
      <c r="D96" s="37" t="s">
        <v>45</v>
      </c>
      <c r="E96" s="51">
        <f>0.21/100</f>
        <v>2.0999999999999999E-3</v>
      </c>
      <c r="F96" s="96">
        <f>E96*F94</f>
        <v>3.1499999999999996E-4</v>
      </c>
      <c r="G96" s="52"/>
      <c r="H96" s="52"/>
      <c r="I96" s="52"/>
      <c r="J96" s="52"/>
      <c r="K96" s="52"/>
      <c r="L96" s="68"/>
      <c r="M96" s="51"/>
      <c r="N96" s="52" t="s">
        <v>264</v>
      </c>
    </row>
    <row r="97" spans="1:16" s="62" customFormat="1" ht="18" x14ac:dyDescent="0.25">
      <c r="A97" s="55"/>
      <c r="B97" s="56" t="s">
        <v>40</v>
      </c>
      <c r="C97" s="57"/>
      <c r="D97" s="58"/>
      <c r="E97" s="59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61"/>
    </row>
    <row r="98" spans="1:16" s="62" customFormat="1" ht="30" x14ac:dyDescent="0.25">
      <c r="A98" s="55"/>
      <c r="B98" s="49" t="s">
        <v>164</v>
      </c>
      <c r="C98" s="57" t="s">
        <v>165</v>
      </c>
      <c r="D98" s="58" t="s">
        <v>48</v>
      </c>
      <c r="E98" s="59">
        <v>1</v>
      </c>
      <c r="F98" s="60">
        <f>E98*F94</f>
        <v>0.15</v>
      </c>
      <c r="G98" s="48"/>
      <c r="H98" s="60"/>
      <c r="I98" s="60"/>
      <c r="J98" s="60"/>
      <c r="K98" s="60"/>
      <c r="L98" s="60"/>
      <c r="M98" s="60"/>
      <c r="N98" s="48" t="s">
        <v>264</v>
      </c>
      <c r="O98" s="61"/>
      <c r="P98" s="61"/>
    </row>
    <row r="99" spans="1:16" s="62" customFormat="1" ht="18" x14ac:dyDescent="0.25">
      <c r="A99" s="55"/>
      <c r="B99" s="63" t="s">
        <v>49</v>
      </c>
      <c r="C99" s="57"/>
      <c r="D99" s="58" t="s">
        <v>45</v>
      </c>
      <c r="E99" s="59">
        <f>15.6/100</f>
        <v>0.156</v>
      </c>
      <c r="F99" s="60">
        <f>E99*F94</f>
        <v>2.3400000000000001E-2</v>
      </c>
      <c r="G99" s="48"/>
      <c r="H99" s="60"/>
      <c r="I99" s="60"/>
      <c r="J99" s="60"/>
      <c r="K99" s="60"/>
      <c r="L99" s="60"/>
      <c r="M99" s="60"/>
      <c r="N99" s="48" t="s">
        <v>264</v>
      </c>
      <c r="O99" s="61"/>
      <c r="P99" s="61"/>
    </row>
    <row r="100" spans="1:16" s="53" customFormat="1" x14ac:dyDescent="0.3">
      <c r="A100" s="34"/>
      <c r="B100" s="49"/>
      <c r="C100" s="37"/>
      <c r="D100" s="37"/>
      <c r="E100" s="133"/>
      <c r="F100" s="51"/>
      <c r="G100" s="133"/>
      <c r="H100" s="52"/>
      <c r="I100" s="133"/>
      <c r="J100" s="52"/>
      <c r="K100" s="133"/>
      <c r="L100" s="52"/>
      <c r="M100" s="52"/>
      <c r="N100" s="48"/>
    </row>
    <row r="101" spans="1:16" s="39" customFormat="1" x14ac:dyDescent="0.25">
      <c r="A101" s="28"/>
      <c r="B101" s="29" t="s">
        <v>9</v>
      </c>
      <c r="C101" s="30"/>
      <c r="D101" s="28"/>
      <c r="E101" s="28"/>
      <c r="F101" s="28"/>
      <c r="G101" s="28"/>
      <c r="H101" s="32">
        <f>SUM(H7:H100)</f>
        <v>0</v>
      </c>
      <c r="I101" s="32"/>
      <c r="J101" s="32">
        <f>SUM(J7:J100)</f>
        <v>0</v>
      </c>
      <c r="K101" s="32"/>
      <c r="L101" s="32">
        <f>SUM(L7:L100)</f>
        <v>0</v>
      </c>
      <c r="M101" s="32">
        <f>SUM(M7:M100)</f>
        <v>0</v>
      </c>
      <c r="N101" s="128"/>
      <c r="O101" s="140"/>
    </row>
    <row r="102" spans="1:16" s="39" customFormat="1" x14ac:dyDescent="0.25">
      <c r="A102" s="33"/>
      <c r="B102" s="34" t="s">
        <v>22</v>
      </c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8">
        <f>M101*C102</f>
        <v>0</v>
      </c>
      <c r="N102" s="129"/>
    </row>
    <row r="103" spans="1:16" s="135" customFormat="1" x14ac:dyDescent="0.25">
      <c r="A103" s="40"/>
      <c r="B103" s="29" t="s">
        <v>9</v>
      </c>
      <c r="C103" s="41"/>
      <c r="D103" s="29"/>
      <c r="E103" s="29"/>
      <c r="F103" s="97"/>
      <c r="G103" s="29"/>
      <c r="H103" s="43"/>
      <c r="I103" s="43"/>
      <c r="J103" s="43"/>
      <c r="K103" s="43"/>
      <c r="L103" s="44"/>
      <c r="M103" s="45">
        <f>SUM(M101:M102)</f>
        <v>0</v>
      </c>
      <c r="N103" s="130"/>
    </row>
    <row r="104" spans="1:16" s="39" customFormat="1" x14ac:dyDescent="0.25">
      <c r="A104" s="33"/>
      <c r="B104" s="34" t="s">
        <v>23</v>
      </c>
      <c r="C104" s="35"/>
      <c r="D104" s="37"/>
      <c r="E104" s="37"/>
      <c r="F104" s="67"/>
      <c r="G104" s="37"/>
      <c r="H104" s="47"/>
      <c r="I104" s="47"/>
      <c r="J104" s="47"/>
      <c r="K104" s="47"/>
      <c r="L104" s="48"/>
      <c r="M104" s="38">
        <f>M103*C104</f>
        <v>0</v>
      </c>
      <c r="N104" s="129"/>
    </row>
    <row r="105" spans="1:16" s="135" customFormat="1" x14ac:dyDescent="0.25">
      <c r="A105" s="40"/>
      <c r="B105" s="29" t="s">
        <v>9</v>
      </c>
      <c r="C105" s="41"/>
      <c r="D105" s="29"/>
      <c r="E105" s="29"/>
      <c r="F105" s="97"/>
      <c r="G105" s="29"/>
      <c r="H105" s="44"/>
      <c r="I105" s="43"/>
      <c r="J105" s="44"/>
      <c r="K105" s="43"/>
      <c r="L105" s="44"/>
      <c r="M105" s="45">
        <f>M104+M103</f>
        <v>0</v>
      </c>
      <c r="N105" s="131"/>
    </row>
    <row r="108" spans="1:16" x14ac:dyDescent="0.25">
      <c r="N108" t="s">
        <v>269</v>
      </c>
    </row>
  </sheetData>
  <mergeCells count="13">
    <mergeCell ref="N4:N5"/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45" right="0.25" top="0.45" bottom="0.45" header="0.3" footer="0.3"/>
  <pageSetup scale="64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181"/>
  <sheetViews>
    <sheetView topLeftCell="A151" zoomScale="70" zoomScaleNormal="70" zoomScaleSheetLayoutView="85" workbookViewId="0">
      <selection activeCell="K180" sqref="K180"/>
    </sheetView>
  </sheetViews>
  <sheetFormatPr defaultRowHeight="15" x14ac:dyDescent="0.25"/>
  <cols>
    <col min="1" max="1" width="4" style="98" bestFit="1" customWidth="1"/>
    <col min="2" max="2" width="45.7109375" style="99" customWidth="1"/>
    <col min="3" max="3" width="19.5703125" style="99" customWidth="1"/>
    <col min="4" max="5" width="13.85546875" style="100" customWidth="1"/>
    <col min="6" max="6" width="10.85546875" style="100" customWidth="1"/>
    <col min="7" max="7" width="9.28515625" bestFit="1" customWidth="1"/>
    <col min="8" max="8" width="12.85546875" bestFit="1" customWidth="1"/>
    <col min="9" max="9" width="9.28515625" bestFit="1" customWidth="1"/>
    <col min="10" max="10" width="11.7109375" bestFit="1" customWidth="1"/>
    <col min="11" max="11" width="9.28515625" bestFit="1" customWidth="1"/>
    <col min="12" max="12" width="11.7109375" bestFit="1" customWidth="1"/>
    <col min="13" max="13" width="12.85546875" bestFit="1" customWidth="1"/>
    <col min="14" max="14" width="27.42578125" customWidth="1"/>
  </cols>
  <sheetData>
    <row r="1" spans="1:14" s="8" customFormat="1" ht="18" customHeight="1" x14ac:dyDescent="0.2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4" s="8" customFormat="1" x14ac:dyDescent="0.25">
      <c r="A2" s="144" t="s">
        <v>194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s="86" customFormat="1" ht="38.25" customHeight="1" x14ac:dyDescent="0.25">
      <c r="A3" s="143" t="s">
        <v>193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9" customFormat="1" ht="60.75" customHeight="1" x14ac:dyDescent="0.25">
      <c r="A4" s="161" t="s">
        <v>8</v>
      </c>
      <c r="B4" s="161" t="s">
        <v>10</v>
      </c>
      <c r="C4" s="162" t="s">
        <v>11</v>
      </c>
      <c r="D4" s="161" t="s">
        <v>12</v>
      </c>
      <c r="E4" s="157" t="s">
        <v>13</v>
      </c>
      <c r="F4" s="157"/>
      <c r="G4" s="163" t="s">
        <v>14</v>
      </c>
      <c r="H4" s="163"/>
      <c r="I4" s="157" t="s">
        <v>15</v>
      </c>
      <c r="J4" s="157"/>
      <c r="K4" s="157" t="s">
        <v>16</v>
      </c>
      <c r="L4" s="157"/>
      <c r="M4" s="157" t="s">
        <v>17</v>
      </c>
      <c r="N4" s="142" t="s">
        <v>266</v>
      </c>
    </row>
    <row r="5" spans="1:14" s="9" customFormat="1" ht="60" x14ac:dyDescent="0.25">
      <c r="A5" s="161"/>
      <c r="B5" s="161"/>
      <c r="C5" s="162"/>
      <c r="D5" s="161"/>
      <c r="E5" s="10" t="s">
        <v>18</v>
      </c>
      <c r="F5" s="10" t="s">
        <v>19</v>
      </c>
      <c r="G5" s="10" t="s">
        <v>20</v>
      </c>
      <c r="H5" s="10" t="s">
        <v>19</v>
      </c>
      <c r="I5" s="10" t="s">
        <v>20</v>
      </c>
      <c r="J5" s="10" t="s">
        <v>19</v>
      </c>
      <c r="K5" s="10" t="s">
        <v>20</v>
      </c>
      <c r="L5" s="10" t="s">
        <v>19</v>
      </c>
      <c r="M5" s="157"/>
      <c r="N5" s="142"/>
    </row>
    <row r="6" spans="1:14" s="9" customFormat="1" x14ac:dyDescent="0.25">
      <c r="A6" s="11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1">
        <v>14</v>
      </c>
    </row>
    <row r="7" spans="1:14" s="19" customFormat="1" x14ac:dyDescent="0.25">
      <c r="A7" s="14"/>
      <c r="B7" s="15"/>
      <c r="C7" s="14"/>
      <c r="D7" s="14"/>
      <c r="E7" s="14"/>
      <c r="F7" s="14"/>
      <c r="G7" s="17"/>
      <c r="H7" s="18"/>
      <c r="I7" s="17"/>
      <c r="J7" s="18"/>
      <c r="K7" s="17"/>
      <c r="L7" s="18"/>
      <c r="M7" s="17"/>
      <c r="N7" s="127"/>
    </row>
    <row r="8" spans="1:14" s="27" customFormat="1" ht="60" x14ac:dyDescent="0.3">
      <c r="A8" s="20">
        <v>1</v>
      </c>
      <c r="B8" s="21" t="s">
        <v>166</v>
      </c>
      <c r="C8" s="22" t="s">
        <v>38</v>
      </c>
      <c r="D8" s="23" t="s">
        <v>33</v>
      </c>
      <c r="E8" s="7"/>
      <c r="F8" s="72">
        <f>30/1000</f>
        <v>0.03</v>
      </c>
      <c r="G8" s="24"/>
      <c r="H8" s="25"/>
      <c r="I8" s="24"/>
      <c r="J8" s="26"/>
      <c r="K8" s="24"/>
      <c r="L8" s="25"/>
      <c r="M8" s="26"/>
      <c r="N8" s="24" t="s">
        <v>264</v>
      </c>
    </row>
    <row r="9" spans="1:14" s="53" customFormat="1" ht="30" x14ac:dyDescent="0.3">
      <c r="A9" s="37"/>
      <c r="B9" s="49" t="s">
        <v>34</v>
      </c>
      <c r="C9" s="37"/>
      <c r="D9" s="37" t="s">
        <v>58</v>
      </c>
      <c r="E9" s="51">
        <v>14.2</v>
      </c>
      <c r="F9" s="52">
        <f>E9*F8</f>
        <v>0.42599999999999999</v>
      </c>
      <c r="G9" s="52"/>
      <c r="H9" s="48"/>
      <c r="I9" s="52"/>
      <c r="J9" s="52"/>
      <c r="K9" s="52"/>
      <c r="L9" s="48"/>
      <c r="M9" s="52"/>
      <c r="N9" s="52" t="s">
        <v>264</v>
      </c>
    </row>
    <row r="10" spans="1:14" s="53" customFormat="1" ht="30" x14ac:dyDescent="0.3">
      <c r="A10" s="37"/>
      <c r="B10" s="49" t="s">
        <v>36</v>
      </c>
      <c r="C10" s="50" t="s">
        <v>37</v>
      </c>
      <c r="D10" s="37" t="s">
        <v>31</v>
      </c>
      <c r="E10" s="51">
        <v>30.8</v>
      </c>
      <c r="F10" s="52">
        <f>E10*F8</f>
        <v>0.92399999999999993</v>
      </c>
      <c r="G10" s="52"/>
      <c r="H10" s="52"/>
      <c r="I10" s="52"/>
      <c r="J10" s="52"/>
      <c r="K10" s="52"/>
      <c r="L10" s="48"/>
      <c r="M10" s="52"/>
      <c r="N10" s="52" t="s">
        <v>264</v>
      </c>
    </row>
    <row r="11" spans="1:14" s="27" customFormat="1" ht="60" x14ac:dyDescent="0.3">
      <c r="A11" s="87" t="s">
        <v>102</v>
      </c>
      <c r="B11" s="21" t="s">
        <v>103</v>
      </c>
      <c r="C11" s="22" t="s">
        <v>104</v>
      </c>
      <c r="D11" s="23" t="s">
        <v>101</v>
      </c>
      <c r="E11" s="7"/>
      <c r="F11" s="72">
        <f>1.5/100</f>
        <v>1.4999999999999999E-2</v>
      </c>
      <c r="G11" s="24"/>
      <c r="H11" s="25"/>
      <c r="I11" s="24"/>
      <c r="J11" s="26"/>
      <c r="K11" s="24"/>
      <c r="L11" s="25"/>
      <c r="M11" s="26"/>
      <c r="N11" s="24" t="s">
        <v>264</v>
      </c>
    </row>
    <row r="12" spans="1:14" s="53" customFormat="1" ht="30" x14ac:dyDescent="0.3">
      <c r="A12" s="37"/>
      <c r="B12" s="49" t="s">
        <v>34</v>
      </c>
      <c r="C12" s="37"/>
      <c r="D12" s="37" t="s">
        <v>58</v>
      </c>
      <c r="E12" s="51">
        <v>137</v>
      </c>
      <c r="F12" s="52">
        <f>E12*F11</f>
        <v>2.0549999999999997</v>
      </c>
      <c r="G12" s="52"/>
      <c r="H12" s="48"/>
      <c r="I12" s="52"/>
      <c r="J12" s="52"/>
      <c r="K12" s="52"/>
      <c r="L12" s="48"/>
      <c r="M12" s="52"/>
      <c r="N12" s="52" t="s">
        <v>264</v>
      </c>
    </row>
    <row r="13" spans="1:14" s="53" customFormat="1" x14ac:dyDescent="0.3">
      <c r="A13" s="37"/>
      <c r="B13" s="74" t="s">
        <v>44</v>
      </c>
      <c r="C13" s="50"/>
      <c r="D13" s="37" t="s">
        <v>45</v>
      </c>
      <c r="E13" s="51">
        <v>28.3</v>
      </c>
      <c r="F13" s="52">
        <f>E13*F11</f>
        <v>0.42449999999999999</v>
      </c>
      <c r="G13" s="52"/>
      <c r="H13" s="52"/>
      <c r="I13" s="52"/>
      <c r="J13" s="52"/>
      <c r="K13" s="52"/>
      <c r="L13" s="48"/>
      <c r="M13" s="52"/>
      <c r="N13" s="52" t="s">
        <v>264</v>
      </c>
    </row>
    <row r="14" spans="1:14" s="62" customFormat="1" ht="18" x14ac:dyDescent="0.25">
      <c r="A14" s="55"/>
      <c r="B14" s="56" t="s">
        <v>40</v>
      </c>
      <c r="C14" s="57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70" customFormat="1" ht="18" x14ac:dyDescent="0.25">
      <c r="A15" s="65"/>
      <c r="B15" s="71" t="s">
        <v>105</v>
      </c>
      <c r="C15" s="50" t="s">
        <v>106</v>
      </c>
      <c r="D15" s="67" t="s">
        <v>41</v>
      </c>
      <c r="E15" s="68">
        <v>102</v>
      </c>
      <c r="F15" s="48">
        <f>E15*F11</f>
        <v>1.53</v>
      </c>
      <c r="G15" s="48"/>
      <c r="H15" s="48"/>
      <c r="I15" s="48"/>
      <c r="J15" s="48"/>
      <c r="K15" s="48"/>
      <c r="L15" s="48"/>
      <c r="M15" s="48"/>
      <c r="N15" s="48" t="s">
        <v>264</v>
      </c>
    </row>
    <row r="16" spans="1:14" s="62" customFormat="1" ht="18" x14ac:dyDescent="0.25">
      <c r="A16" s="55"/>
      <c r="B16" s="63" t="s">
        <v>49</v>
      </c>
      <c r="C16" s="57"/>
      <c r="D16" s="58" t="s">
        <v>45</v>
      </c>
      <c r="E16" s="59">
        <v>62</v>
      </c>
      <c r="F16" s="60">
        <f>E16*F11</f>
        <v>0.92999999999999994</v>
      </c>
      <c r="G16" s="48"/>
      <c r="H16" s="60"/>
      <c r="I16" s="60"/>
      <c r="J16" s="60"/>
      <c r="K16" s="60"/>
      <c r="L16" s="60"/>
      <c r="M16" s="60"/>
      <c r="N16" s="48" t="s">
        <v>264</v>
      </c>
    </row>
    <row r="17" spans="1:14" s="27" customFormat="1" ht="60" x14ac:dyDescent="0.3">
      <c r="A17" s="20">
        <v>3</v>
      </c>
      <c r="B17" s="21" t="s">
        <v>107</v>
      </c>
      <c r="C17" s="22" t="s">
        <v>108</v>
      </c>
      <c r="D17" s="23" t="s">
        <v>101</v>
      </c>
      <c r="E17" s="7"/>
      <c r="F17" s="72">
        <f>3.4/100</f>
        <v>3.4000000000000002E-2</v>
      </c>
      <c r="G17" s="24"/>
      <c r="H17" s="25"/>
      <c r="I17" s="24"/>
      <c r="J17" s="26"/>
      <c r="K17" s="24"/>
      <c r="L17" s="25"/>
      <c r="M17" s="26"/>
      <c r="N17" s="24" t="s">
        <v>264</v>
      </c>
    </row>
    <row r="18" spans="1:14" s="53" customFormat="1" ht="30" x14ac:dyDescent="0.3">
      <c r="A18" s="37"/>
      <c r="B18" s="49" t="s">
        <v>34</v>
      </c>
      <c r="C18" s="37"/>
      <c r="D18" s="37" t="s">
        <v>35</v>
      </c>
      <c r="E18" s="51">
        <v>1460</v>
      </c>
      <c r="F18" s="52">
        <f>E18*F17</f>
        <v>49.64</v>
      </c>
      <c r="G18" s="52"/>
      <c r="H18" s="48"/>
      <c r="I18" s="52"/>
      <c r="J18" s="52"/>
      <c r="K18" s="52"/>
      <c r="L18" s="48"/>
      <c r="M18" s="52"/>
      <c r="N18" s="52" t="s">
        <v>264</v>
      </c>
    </row>
    <row r="19" spans="1:14" s="53" customFormat="1" x14ac:dyDescent="0.3">
      <c r="A19" s="37"/>
      <c r="B19" s="74" t="s">
        <v>44</v>
      </c>
      <c r="C19" s="50"/>
      <c r="D19" s="37" t="s">
        <v>45</v>
      </c>
      <c r="E19" s="51">
        <v>93</v>
      </c>
      <c r="F19" s="52">
        <f>E19*F17</f>
        <v>3.1620000000000004</v>
      </c>
      <c r="G19" s="52"/>
      <c r="H19" s="52"/>
      <c r="I19" s="52"/>
      <c r="J19" s="52"/>
      <c r="K19" s="52"/>
      <c r="L19" s="48"/>
      <c r="M19" s="52"/>
      <c r="N19" s="52" t="s">
        <v>264</v>
      </c>
    </row>
    <row r="20" spans="1:14" s="62" customFormat="1" ht="18" x14ac:dyDescent="0.25">
      <c r="A20" s="55"/>
      <c r="B20" s="56" t="s">
        <v>40</v>
      </c>
      <c r="C20" s="57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</row>
    <row r="21" spans="1:14" s="62" customFormat="1" ht="18" x14ac:dyDescent="0.25">
      <c r="A21" s="55"/>
      <c r="B21" s="63" t="s">
        <v>109</v>
      </c>
      <c r="C21" s="57" t="s">
        <v>110</v>
      </c>
      <c r="D21" s="58" t="s">
        <v>41</v>
      </c>
      <c r="E21" s="59">
        <v>101.5</v>
      </c>
      <c r="F21" s="60">
        <f>E21*F17</f>
        <v>3.4510000000000001</v>
      </c>
      <c r="G21" s="48"/>
      <c r="H21" s="60"/>
      <c r="I21" s="60"/>
      <c r="J21" s="60"/>
      <c r="K21" s="60"/>
      <c r="L21" s="60"/>
      <c r="M21" s="60"/>
      <c r="N21" s="48" t="s">
        <v>264</v>
      </c>
    </row>
    <row r="22" spans="1:14" s="62" customFormat="1" ht="30" x14ac:dyDescent="0.25">
      <c r="A22" s="55"/>
      <c r="B22" s="122" t="s">
        <v>202</v>
      </c>
      <c r="C22" s="57" t="s">
        <v>111</v>
      </c>
      <c r="D22" s="58" t="s">
        <v>112</v>
      </c>
      <c r="E22" s="59" t="s">
        <v>113</v>
      </c>
      <c r="F22" s="48">
        <f>272/1000</f>
        <v>0.27200000000000002</v>
      </c>
      <c r="G22" s="48"/>
      <c r="H22" s="60"/>
      <c r="I22" s="60"/>
      <c r="J22" s="60"/>
      <c r="K22" s="60"/>
      <c r="L22" s="60"/>
      <c r="M22" s="60"/>
      <c r="N22" s="48" t="s">
        <v>265</v>
      </c>
    </row>
    <row r="23" spans="1:14" s="62" customFormat="1" ht="18" x14ac:dyDescent="0.25">
      <c r="A23" s="55"/>
      <c r="B23" s="63" t="s">
        <v>114</v>
      </c>
      <c r="C23" s="57" t="s">
        <v>115</v>
      </c>
      <c r="D23" s="58" t="s">
        <v>116</v>
      </c>
      <c r="E23" s="59">
        <v>288</v>
      </c>
      <c r="F23" s="60">
        <f>E23*F17</f>
        <v>9.7920000000000016</v>
      </c>
      <c r="G23" s="48"/>
      <c r="H23" s="60"/>
      <c r="I23" s="60"/>
      <c r="J23" s="60"/>
      <c r="K23" s="60"/>
      <c r="L23" s="60"/>
      <c r="M23" s="60"/>
      <c r="N23" s="48" t="s">
        <v>264</v>
      </c>
    </row>
    <row r="24" spans="1:14" s="62" customFormat="1" ht="18" x14ac:dyDescent="0.25">
      <c r="A24" s="55"/>
      <c r="B24" s="63" t="s">
        <v>117</v>
      </c>
      <c r="C24" s="57" t="s">
        <v>118</v>
      </c>
      <c r="D24" s="58" t="s">
        <v>41</v>
      </c>
      <c r="E24" s="59">
        <f>0.53+0.92+6.4</f>
        <v>7.8500000000000005</v>
      </c>
      <c r="F24" s="60">
        <f>E24*F17</f>
        <v>0.26690000000000003</v>
      </c>
      <c r="G24" s="48"/>
      <c r="H24" s="60"/>
      <c r="I24" s="60"/>
      <c r="J24" s="60"/>
      <c r="K24" s="60"/>
      <c r="L24" s="60"/>
      <c r="M24" s="60"/>
      <c r="N24" s="48" t="s">
        <v>264</v>
      </c>
    </row>
    <row r="25" spans="1:14" s="62" customFormat="1" ht="18" x14ac:dyDescent="0.25">
      <c r="A25" s="55"/>
      <c r="B25" s="63" t="s">
        <v>49</v>
      </c>
      <c r="C25" s="57"/>
      <c r="D25" s="58" t="s">
        <v>45</v>
      </c>
      <c r="E25" s="59">
        <v>296</v>
      </c>
      <c r="F25" s="60">
        <f>E25*F17</f>
        <v>10.064</v>
      </c>
      <c r="G25" s="48"/>
      <c r="H25" s="60"/>
      <c r="I25" s="60"/>
      <c r="J25" s="60"/>
      <c r="K25" s="60"/>
      <c r="L25" s="60"/>
      <c r="M25" s="60"/>
      <c r="N25" s="48" t="s">
        <v>264</v>
      </c>
    </row>
    <row r="26" spans="1:14" s="27" customFormat="1" ht="60" x14ac:dyDescent="0.3">
      <c r="A26" s="20">
        <v>4</v>
      </c>
      <c r="B26" s="21" t="s">
        <v>119</v>
      </c>
      <c r="C26" s="22" t="s">
        <v>108</v>
      </c>
      <c r="D26" s="23" t="s">
        <v>101</v>
      </c>
      <c r="E26" s="7"/>
      <c r="F26" s="72">
        <f>8.8/100</f>
        <v>8.8000000000000009E-2</v>
      </c>
      <c r="G26" s="24"/>
      <c r="H26" s="25"/>
      <c r="I26" s="24"/>
      <c r="J26" s="26"/>
      <c r="K26" s="24"/>
      <c r="L26" s="25"/>
      <c r="M26" s="26"/>
      <c r="N26" s="24" t="s">
        <v>264</v>
      </c>
    </row>
    <row r="27" spans="1:14" s="53" customFormat="1" ht="30" x14ac:dyDescent="0.3">
      <c r="A27" s="37"/>
      <c r="B27" s="49" t="s">
        <v>34</v>
      </c>
      <c r="C27" s="37"/>
      <c r="D27" s="37" t="s">
        <v>35</v>
      </c>
      <c r="E27" s="51">
        <v>1460</v>
      </c>
      <c r="F27" s="52">
        <f>E27*F26</f>
        <v>128.48000000000002</v>
      </c>
      <c r="G27" s="52"/>
      <c r="H27" s="48"/>
      <c r="I27" s="52"/>
      <c r="J27" s="52"/>
      <c r="K27" s="52"/>
      <c r="L27" s="48"/>
      <c r="M27" s="52"/>
      <c r="N27" s="52" t="s">
        <v>264</v>
      </c>
    </row>
    <row r="28" spans="1:14" s="53" customFormat="1" x14ac:dyDescent="0.3">
      <c r="A28" s="37"/>
      <c r="B28" s="74" t="s">
        <v>44</v>
      </c>
      <c r="C28" s="50"/>
      <c r="D28" s="37" t="s">
        <v>45</v>
      </c>
      <c r="E28" s="51">
        <v>93</v>
      </c>
      <c r="F28" s="52">
        <f>E28*F26</f>
        <v>8.1840000000000011</v>
      </c>
      <c r="G28" s="52"/>
      <c r="H28" s="52"/>
      <c r="I28" s="52"/>
      <c r="J28" s="52"/>
      <c r="K28" s="52"/>
      <c r="L28" s="48"/>
      <c r="M28" s="52"/>
      <c r="N28" s="52" t="s">
        <v>264</v>
      </c>
    </row>
    <row r="29" spans="1:14" s="62" customFormat="1" ht="18" x14ac:dyDescent="0.25">
      <c r="A29" s="55"/>
      <c r="B29" s="56" t="s">
        <v>40</v>
      </c>
      <c r="C29" s="57"/>
      <c r="D29" s="58"/>
      <c r="E29" s="59"/>
      <c r="F29" s="60"/>
      <c r="G29" s="60"/>
      <c r="H29" s="60"/>
      <c r="I29" s="60"/>
      <c r="J29" s="60"/>
      <c r="K29" s="60"/>
      <c r="L29" s="60"/>
      <c r="M29" s="60"/>
      <c r="N29" s="60"/>
    </row>
    <row r="30" spans="1:14" s="62" customFormat="1" ht="18" x14ac:dyDescent="0.25">
      <c r="A30" s="55"/>
      <c r="B30" s="63" t="s">
        <v>109</v>
      </c>
      <c r="C30" s="57" t="s">
        <v>110</v>
      </c>
      <c r="D30" s="58" t="s">
        <v>41</v>
      </c>
      <c r="E30" s="59">
        <v>101.5</v>
      </c>
      <c r="F30" s="60">
        <f>E30*F26</f>
        <v>8.9320000000000004</v>
      </c>
      <c r="G30" s="48"/>
      <c r="H30" s="60"/>
      <c r="I30" s="60"/>
      <c r="J30" s="60"/>
      <c r="K30" s="60"/>
      <c r="L30" s="60"/>
      <c r="M30" s="60"/>
      <c r="N30" s="48" t="s">
        <v>264</v>
      </c>
    </row>
    <row r="31" spans="1:14" s="62" customFormat="1" ht="30" x14ac:dyDescent="0.25">
      <c r="A31" s="55"/>
      <c r="B31" s="122" t="s">
        <v>201</v>
      </c>
      <c r="C31" s="57" t="s">
        <v>111</v>
      </c>
      <c r="D31" s="58" t="s">
        <v>120</v>
      </c>
      <c r="E31" s="59" t="s">
        <v>113</v>
      </c>
      <c r="F31" s="48">
        <f>704/1000</f>
        <v>0.70399999999999996</v>
      </c>
      <c r="G31" s="48"/>
      <c r="H31" s="60"/>
      <c r="I31" s="60"/>
      <c r="J31" s="60"/>
      <c r="K31" s="60"/>
      <c r="L31" s="60"/>
      <c r="M31" s="60"/>
      <c r="N31" s="48" t="s">
        <v>265</v>
      </c>
    </row>
    <row r="32" spans="1:14" s="62" customFormat="1" ht="18" x14ac:dyDescent="0.25">
      <c r="A32" s="55"/>
      <c r="B32" s="63" t="s">
        <v>114</v>
      </c>
      <c r="C32" s="57" t="s">
        <v>115</v>
      </c>
      <c r="D32" s="58" t="s">
        <v>116</v>
      </c>
      <c r="E32" s="59">
        <v>288</v>
      </c>
      <c r="F32" s="60">
        <f>E32*F26</f>
        <v>25.344000000000001</v>
      </c>
      <c r="G32" s="48"/>
      <c r="H32" s="60"/>
      <c r="I32" s="60"/>
      <c r="J32" s="60"/>
      <c r="K32" s="60"/>
      <c r="L32" s="60"/>
      <c r="M32" s="60"/>
      <c r="N32" s="48" t="s">
        <v>264</v>
      </c>
    </row>
    <row r="33" spans="1:14" s="62" customFormat="1" ht="18" x14ac:dyDescent="0.25">
      <c r="A33" s="55"/>
      <c r="B33" s="63" t="s">
        <v>121</v>
      </c>
      <c r="C33" s="57" t="s">
        <v>118</v>
      </c>
      <c r="D33" s="58" t="s">
        <v>41</v>
      </c>
      <c r="E33" s="59">
        <f>0.53+0.92+6.4</f>
        <v>7.8500000000000005</v>
      </c>
      <c r="F33" s="60">
        <f>E33*F26</f>
        <v>0.69080000000000008</v>
      </c>
      <c r="G33" s="48"/>
      <c r="H33" s="60"/>
      <c r="I33" s="60"/>
      <c r="J33" s="60"/>
      <c r="K33" s="60"/>
      <c r="L33" s="60"/>
      <c r="M33" s="60"/>
      <c r="N33" s="48" t="s">
        <v>264</v>
      </c>
    </row>
    <row r="34" spans="1:14" s="62" customFormat="1" ht="18" x14ac:dyDescent="0.25">
      <c r="A34" s="55"/>
      <c r="B34" s="63" t="s">
        <v>49</v>
      </c>
      <c r="C34" s="57"/>
      <c r="D34" s="58" t="s">
        <v>45</v>
      </c>
      <c r="E34" s="59">
        <v>296</v>
      </c>
      <c r="F34" s="60">
        <f>E34*F26</f>
        <v>26.048000000000002</v>
      </c>
      <c r="G34" s="48"/>
      <c r="H34" s="60"/>
      <c r="I34" s="60"/>
      <c r="J34" s="60"/>
      <c r="K34" s="60"/>
      <c r="L34" s="60"/>
      <c r="M34" s="60"/>
      <c r="N34" s="48" t="s">
        <v>264</v>
      </c>
    </row>
    <row r="35" spans="1:14" s="27" customFormat="1" ht="75" x14ac:dyDescent="0.3">
      <c r="A35" s="20">
        <v>5</v>
      </c>
      <c r="B35" s="21" t="s">
        <v>200</v>
      </c>
      <c r="C35" s="22" t="s">
        <v>108</v>
      </c>
      <c r="D35" s="23" t="s">
        <v>101</v>
      </c>
      <c r="E35" s="7"/>
      <c r="F35" s="72">
        <f>2.2/100</f>
        <v>2.2000000000000002E-2</v>
      </c>
      <c r="G35" s="24"/>
      <c r="H35" s="25"/>
      <c r="I35" s="24"/>
      <c r="J35" s="26"/>
      <c r="K35" s="24"/>
      <c r="L35" s="25"/>
      <c r="M35" s="26"/>
      <c r="N35" s="24" t="s">
        <v>264</v>
      </c>
    </row>
    <row r="36" spans="1:14" s="53" customFormat="1" ht="30" x14ac:dyDescent="0.3">
      <c r="A36" s="37"/>
      <c r="B36" s="49" t="s">
        <v>34</v>
      </c>
      <c r="C36" s="37"/>
      <c r="D36" s="37" t="s">
        <v>35</v>
      </c>
      <c r="E36" s="51">
        <v>1460</v>
      </c>
      <c r="F36" s="52">
        <f>E36*F35</f>
        <v>32.120000000000005</v>
      </c>
      <c r="G36" s="52"/>
      <c r="H36" s="48"/>
      <c r="I36" s="52"/>
      <c r="J36" s="52"/>
      <c r="K36" s="52"/>
      <c r="L36" s="48"/>
      <c r="M36" s="52"/>
      <c r="N36" s="52" t="s">
        <v>264</v>
      </c>
    </row>
    <row r="37" spans="1:14" s="53" customFormat="1" x14ac:dyDescent="0.3">
      <c r="A37" s="37"/>
      <c r="B37" s="74" t="s">
        <v>44</v>
      </c>
      <c r="C37" s="50"/>
      <c r="D37" s="37" t="s">
        <v>45</v>
      </c>
      <c r="E37" s="51">
        <v>93</v>
      </c>
      <c r="F37" s="52">
        <f>E37*F35</f>
        <v>2.0460000000000003</v>
      </c>
      <c r="G37" s="52"/>
      <c r="H37" s="52"/>
      <c r="I37" s="52"/>
      <c r="J37" s="52"/>
      <c r="K37" s="52"/>
      <c r="L37" s="48"/>
      <c r="M37" s="52"/>
      <c r="N37" s="52" t="s">
        <v>264</v>
      </c>
    </row>
    <row r="38" spans="1:14" s="62" customFormat="1" ht="18" x14ac:dyDescent="0.25">
      <c r="A38" s="55"/>
      <c r="B38" s="56" t="s">
        <v>40</v>
      </c>
      <c r="C38" s="57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62" customFormat="1" ht="18" x14ac:dyDescent="0.25">
      <c r="A39" s="55"/>
      <c r="B39" s="63" t="s">
        <v>109</v>
      </c>
      <c r="C39" s="57" t="s">
        <v>110</v>
      </c>
      <c r="D39" s="58" t="s">
        <v>41</v>
      </c>
      <c r="E39" s="59">
        <v>101.5</v>
      </c>
      <c r="F39" s="60">
        <f>E39*F35</f>
        <v>2.2330000000000001</v>
      </c>
      <c r="G39" s="48"/>
      <c r="H39" s="60"/>
      <c r="I39" s="60"/>
      <c r="J39" s="60"/>
      <c r="K39" s="60"/>
      <c r="L39" s="60"/>
      <c r="M39" s="60"/>
      <c r="N39" s="48" t="s">
        <v>264</v>
      </c>
    </row>
    <row r="40" spans="1:14" s="62" customFormat="1" ht="30" x14ac:dyDescent="0.25">
      <c r="A40" s="55"/>
      <c r="B40" s="122" t="s">
        <v>201</v>
      </c>
      <c r="C40" s="57" t="s">
        <v>111</v>
      </c>
      <c r="D40" s="58" t="s">
        <v>120</v>
      </c>
      <c r="E40" s="59" t="s">
        <v>113</v>
      </c>
      <c r="F40" s="48">
        <f>176/1000</f>
        <v>0.17599999999999999</v>
      </c>
      <c r="G40" s="48"/>
      <c r="H40" s="60"/>
      <c r="I40" s="60"/>
      <c r="J40" s="60"/>
      <c r="K40" s="60"/>
      <c r="L40" s="60"/>
      <c r="M40" s="60"/>
      <c r="N40" s="48" t="s">
        <v>265</v>
      </c>
    </row>
    <row r="41" spans="1:14" s="62" customFormat="1" ht="18" x14ac:dyDescent="0.25">
      <c r="A41" s="55"/>
      <c r="B41" s="63" t="s">
        <v>114</v>
      </c>
      <c r="C41" s="57" t="s">
        <v>115</v>
      </c>
      <c r="D41" s="58" t="s">
        <v>116</v>
      </c>
      <c r="E41" s="59">
        <v>288</v>
      </c>
      <c r="F41" s="60">
        <f>E41*F35</f>
        <v>6.3360000000000003</v>
      </c>
      <c r="G41" s="48"/>
      <c r="H41" s="60"/>
      <c r="I41" s="60"/>
      <c r="J41" s="60"/>
      <c r="K41" s="60"/>
      <c r="L41" s="60"/>
      <c r="M41" s="60"/>
      <c r="N41" s="48" t="s">
        <v>264</v>
      </c>
    </row>
    <row r="42" spans="1:14" s="62" customFormat="1" ht="18" x14ac:dyDescent="0.25">
      <c r="A42" s="55"/>
      <c r="B42" s="63" t="s">
        <v>121</v>
      </c>
      <c r="C42" s="57" t="s">
        <v>118</v>
      </c>
      <c r="D42" s="58" t="s">
        <v>41</v>
      </c>
      <c r="E42" s="59">
        <f>0.53+0.92+6.4</f>
        <v>7.8500000000000005</v>
      </c>
      <c r="F42" s="60">
        <f>E42*F35</f>
        <v>0.17270000000000002</v>
      </c>
      <c r="G42" s="48"/>
      <c r="H42" s="60"/>
      <c r="I42" s="60"/>
      <c r="J42" s="60"/>
      <c r="K42" s="60"/>
      <c r="L42" s="60"/>
      <c r="M42" s="60"/>
      <c r="N42" s="48" t="s">
        <v>264</v>
      </c>
    </row>
    <row r="43" spans="1:14" s="62" customFormat="1" ht="18" x14ac:dyDescent="0.25">
      <c r="A43" s="55"/>
      <c r="B43" s="63" t="s">
        <v>49</v>
      </c>
      <c r="C43" s="57"/>
      <c r="D43" s="58" t="s">
        <v>45</v>
      </c>
      <c r="E43" s="59">
        <v>296</v>
      </c>
      <c r="F43" s="60">
        <f>E43*F35</f>
        <v>6.5120000000000005</v>
      </c>
      <c r="G43" s="48"/>
      <c r="H43" s="60"/>
      <c r="I43" s="60"/>
      <c r="J43" s="60"/>
      <c r="K43" s="60"/>
      <c r="L43" s="60"/>
      <c r="M43" s="60"/>
      <c r="N43" s="48" t="s">
        <v>264</v>
      </c>
    </row>
    <row r="44" spans="1:14" s="27" customFormat="1" ht="45" x14ac:dyDescent="0.3">
      <c r="A44" s="20">
        <v>6</v>
      </c>
      <c r="B44" s="21" t="s">
        <v>134</v>
      </c>
      <c r="C44" s="22" t="s">
        <v>135</v>
      </c>
      <c r="D44" s="23" t="s">
        <v>136</v>
      </c>
      <c r="E44" s="7"/>
      <c r="F44" s="72">
        <v>8</v>
      </c>
      <c r="G44" s="24"/>
      <c r="H44" s="25"/>
      <c r="I44" s="24"/>
      <c r="J44" s="26"/>
      <c r="K44" s="24"/>
      <c r="L44" s="25"/>
      <c r="M44" s="26"/>
      <c r="N44" s="24" t="s">
        <v>264</v>
      </c>
    </row>
    <row r="45" spans="1:14" s="90" customFormat="1" ht="30" x14ac:dyDescent="0.25">
      <c r="A45" s="88"/>
      <c r="B45" s="74" t="s">
        <v>127</v>
      </c>
      <c r="C45" s="88"/>
      <c r="D45" s="89" t="s">
        <v>137</v>
      </c>
      <c r="E45" s="89">
        <f>68/100</f>
        <v>0.68</v>
      </c>
      <c r="F45" s="56">
        <f>E45*F44</f>
        <v>5.44</v>
      </c>
      <c r="G45" s="56"/>
      <c r="H45" s="56"/>
      <c r="I45" s="56"/>
      <c r="J45" s="56"/>
      <c r="K45" s="56"/>
      <c r="L45" s="56"/>
      <c r="M45" s="56"/>
      <c r="N45" s="56" t="s">
        <v>264</v>
      </c>
    </row>
    <row r="46" spans="1:14" s="90" customFormat="1" x14ac:dyDescent="0.25">
      <c r="A46" s="91"/>
      <c r="B46" s="74" t="s">
        <v>44</v>
      </c>
      <c r="C46" s="88"/>
      <c r="D46" s="56" t="s">
        <v>45</v>
      </c>
      <c r="E46" s="92">
        <f>0.03/100</f>
        <v>2.9999999999999997E-4</v>
      </c>
      <c r="F46" s="92">
        <f>E46*F44</f>
        <v>2.3999999999999998E-3</v>
      </c>
      <c r="G46" s="56"/>
      <c r="H46" s="56"/>
      <c r="I46" s="56"/>
      <c r="J46" s="56"/>
      <c r="K46" s="56"/>
      <c r="L46" s="89"/>
      <c r="M46" s="89"/>
      <c r="N46" s="56" t="s">
        <v>264</v>
      </c>
    </row>
    <row r="47" spans="1:14" s="94" customFormat="1" x14ac:dyDescent="0.25">
      <c r="A47" s="93"/>
      <c r="B47" s="88" t="s">
        <v>40</v>
      </c>
      <c r="C47" s="88"/>
      <c r="D47" s="89"/>
      <c r="E47" s="89"/>
      <c r="F47" s="56"/>
      <c r="G47" s="56"/>
      <c r="H47" s="56"/>
      <c r="I47" s="56"/>
      <c r="J47" s="56"/>
      <c r="K47" s="56"/>
      <c r="L47" s="56"/>
      <c r="M47" s="56"/>
      <c r="N47" s="56"/>
    </row>
    <row r="48" spans="1:14" s="62" customFormat="1" ht="18" x14ac:dyDescent="0.25">
      <c r="A48" s="55"/>
      <c r="B48" s="63" t="s">
        <v>138</v>
      </c>
      <c r="C48" s="57" t="s">
        <v>139</v>
      </c>
      <c r="D48" s="58" t="s">
        <v>133</v>
      </c>
      <c r="E48" s="59">
        <f>(25.1+0.2+2.7)/100</f>
        <v>0.28000000000000003</v>
      </c>
      <c r="F48" s="60">
        <f>E48*F44</f>
        <v>2.2400000000000002</v>
      </c>
      <c r="G48" s="48"/>
      <c r="H48" s="60"/>
      <c r="I48" s="60"/>
      <c r="J48" s="60"/>
      <c r="K48" s="60"/>
      <c r="L48" s="60"/>
      <c r="M48" s="60"/>
      <c r="N48" s="48" t="s">
        <v>264</v>
      </c>
    </row>
    <row r="49" spans="1:14" s="62" customFormat="1" ht="18" x14ac:dyDescent="0.25">
      <c r="A49" s="55"/>
      <c r="B49" s="63" t="s">
        <v>49</v>
      </c>
      <c r="C49" s="57"/>
      <c r="D49" s="58" t="s">
        <v>45</v>
      </c>
      <c r="E49" s="59">
        <f>0.19/100</f>
        <v>1.9E-3</v>
      </c>
      <c r="F49" s="59">
        <f>E49*F44</f>
        <v>1.52E-2</v>
      </c>
      <c r="G49" s="48"/>
      <c r="H49" s="60"/>
      <c r="I49" s="60"/>
      <c r="J49" s="60"/>
      <c r="K49" s="60"/>
      <c r="L49" s="60"/>
      <c r="M49" s="60"/>
      <c r="N49" s="48" t="s">
        <v>264</v>
      </c>
    </row>
    <row r="50" spans="1:14" s="27" customFormat="1" ht="45" x14ac:dyDescent="0.3">
      <c r="A50" s="20">
        <v>7</v>
      </c>
      <c r="B50" s="21" t="s">
        <v>210</v>
      </c>
      <c r="C50" s="22" t="s">
        <v>203</v>
      </c>
      <c r="D50" s="20" t="s">
        <v>211</v>
      </c>
      <c r="E50" s="7"/>
      <c r="F50" s="72">
        <v>0.18</v>
      </c>
      <c r="G50" s="24"/>
      <c r="H50" s="25"/>
      <c r="I50" s="24"/>
      <c r="J50" s="26"/>
      <c r="K50" s="24"/>
      <c r="L50" s="25"/>
      <c r="M50" s="26"/>
      <c r="N50" s="24" t="s">
        <v>264</v>
      </c>
    </row>
    <row r="51" spans="1:14" s="53" customFormat="1" ht="30" x14ac:dyDescent="0.3">
      <c r="A51" s="37"/>
      <c r="B51" s="49" t="s">
        <v>204</v>
      </c>
      <c r="C51" s="37"/>
      <c r="D51" s="37" t="s">
        <v>66</v>
      </c>
      <c r="E51" s="51">
        <v>97</v>
      </c>
      <c r="F51" s="52">
        <f>E51*F50</f>
        <v>17.46</v>
      </c>
      <c r="G51" s="52"/>
      <c r="H51" s="48"/>
      <c r="I51" s="52"/>
      <c r="J51" s="52"/>
      <c r="K51" s="52"/>
      <c r="L51" s="48"/>
      <c r="M51" s="52"/>
      <c r="N51" s="52" t="s">
        <v>264</v>
      </c>
    </row>
    <row r="52" spans="1:14" s="53" customFormat="1" x14ac:dyDescent="0.3">
      <c r="A52" s="37"/>
      <c r="B52" s="74" t="s">
        <v>205</v>
      </c>
      <c r="C52" s="50"/>
      <c r="D52" s="37" t="s">
        <v>45</v>
      </c>
      <c r="E52" s="51">
        <v>0.51</v>
      </c>
      <c r="F52" s="52">
        <f>E52*F50</f>
        <v>9.1799999999999993E-2</v>
      </c>
      <c r="G52" s="52"/>
      <c r="H52" s="52"/>
      <c r="I52" s="52"/>
      <c r="J52" s="52"/>
      <c r="K52" s="52"/>
      <c r="L52" s="48"/>
      <c r="M52" s="52"/>
      <c r="N52" s="52" t="s">
        <v>264</v>
      </c>
    </row>
    <row r="53" spans="1:14" s="62" customFormat="1" ht="18" x14ac:dyDescent="0.25">
      <c r="A53" s="55"/>
      <c r="B53" s="56" t="s">
        <v>206</v>
      </c>
      <c r="C53" s="57"/>
      <c r="D53" s="58"/>
      <c r="E53" s="59"/>
      <c r="F53" s="60"/>
      <c r="G53" s="60"/>
      <c r="H53" s="60"/>
      <c r="I53" s="60"/>
      <c r="J53" s="60"/>
      <c r="K53" s="60"/>
      <c r="L53" s="60"/>
      <c r="M53" s="60"/>
      <c r="N53" s="60"/>
    </row>
    <row r="54" spans="1:14" s="62" customFormat="1" ht="30" x14ac:dyDescent="0.25">
      <c r="A54" s="55"/>
      <c r="B54" s="63" t="s">
        <v>207</v>
      </c>
      <c r="C54" s="57"/>
      <c r="D54" s="58" t="s">
        <v>208</v>
      </c>
      <c r="E54" s="59">
        <v>100</v>
      </c>
      <c r="F54" s="60">
        <f>E54*F50</f>
        <v>18</v>
      </c>
      <c r="G54" s="48"/>
      <c r="H54" s="60"/>
      <c r="I54" s="60"/>
      <c r="J54" s="60"/>
      <c r="K54" s="60"/>
      <c r="L54" s="60"/>
      <c r="M54" s="60"/>
      <c r="N54" s="48" t="s">
        <v>264</v>
      </c>
    </row>
    <row r="55" spans="1:14" s="62" customFormat="1" ht="18" x14ac:dyDescent="0.25">
      <c r="A55" s="55"/>
      <c r="B55" s="63" t="s">
        <v>209</v>
      </c>
      <c r="C55" s="57"/>
      <c r="D55" s="58" t="s">
        <v>45</v>
      </c>
      <c r="E55" s="59">
        <v>2.76</v>
      </c>
      <c r="F55" s="60">
        <f>E55*F50</f>
        <v>0.49679999999999996</v>
      </c>
      <c r="G55" s="48"/>
      <c r="H55" s="60"/>
      <c r="I55" s="60"/>
      <c r="J55" s="60"/>
      <c r="K55" s="60"/>
      <c r="L55" s="60"/>
      <c r="M55" s="60"/>
      <c r="N55" s="48" t="s">
        <v>264</v>
      </c>
    </row>
    <row r="56" spans="1:14" s="104" customFormat="1" ht="30" x14ac:dyDescent="0.25">
      <c r="A56" s="87" t="s">
        <v>263</v>
      </c>
      <c r="B56" s="95" t="s">
        <v>249</v>
      </c>
      <c r="C56" s="22" t="s">
        <v>257</v>
      </c>
      <c r="D56" s="54" t="s">
        <v>255</v>
      </c>
      <c r="E56" s="101"/>
      <c r="F56" s="102">
        <v>1</v>
      </c>
      <c r="G56" s="103"/>
      <c r="H56" s="103"/>
      <c r="I56" s="103"/>
      <c r="J56" s="103"/>
      <c r="K56" s="103"/>
      <c r="L56" s="103"/>
      <c r="M56" s="103"/>
      <c r="N56" s="103" t="s">
        <v>264</v>
      </c>
    </row>
    <row r="57" spans="1:14" s="114" customFormat="1" ht="18" x14ac:dyDescent="0.25">
      <c r="A57" s="115"/>
      <c r="B57" s="117" t="s">
        <v>250</v>
      </c>
      <c r="C57" s="117"/>
      <c r="D57" s="111" t="s">
        <v>251</v>
      </c>
      <c r="E57" s="111">
        <v>1.54</v>
      </c>
      <c r="F57" s="112">
        <v>1.54</v>
      </c>
      <c r="G57" s="111"/>
      <c r="H57" s="112"/>
      <c r="I57" s="118"/>
      <c r="J57" s="112"/>
      <c r="K57" s="111"/>
      <c r="L57" s="112"/>
      <c r="M57" s="113"/>
      <c r="N57" s="111" t="s">
        <v>264</v>
      </c>
    </row>
    <row r="58" spans="1:14" s="114" customFormat="1" ht="18" x14ac:dyDescent="0.25">
      <c r="A58" s="115"/>
      <c r="B58" s="117" t="s">
        <v>252</v>
      </c>
      <c r="C58" s="117"/>
      <c r="D58" s="111" t="s">
        <v>253</v>
      </c>
      <c r="E58" s="111">
        <v>0.09</v>
      </c>
      <c r="F58" s="112">
        <v>0.09</v>
      </c>
      <c r="G58" s="111"/>
      <c r="H58" s="112"/>
      <c r="I58" s="111"/>
      <c r="J58" s="112"/>
      <c r="K58" s="111"/>
      <c r="L58" s="112"/>
      <c r="M58" s="113"/>
      <c r="N58" s="111" t="s">
        <v>264</v>
      </c>
    </row>
    <row r="59" spans="1:14" s="114" customFormat="1" ht="18" x14ac:dyDescent="0.25">
      <c r="A59" s="115"/>
      <c r="B59" s="116" t="s">
        <v>254</v>
      </c>
      <c r="C59" s="116"/>
      <c r="D59" s="111"/>
      <c r="E59" s="111"/>
      <c r="F59" s="112"/>
      <c r="G59" s="111"/>
      <c r="H59" s="112"/>
      <c r="I59" s="111"/>
      <c r="J59" s="112"/>
      <c r="K59" s="111"/>
      <c r="L59" s="112"/>
      <c r="M59" s="113"/>
      <c r="N59" s="111"/>
    </row>
    <row r="60" spans="1:14" s="114" customFormat="1" ht="19.5" x14ac:dyDescent="0.25">
      <c r="A60" s="115"/>
      <c r="B60" s="117" t="s">
        <v>259</v>
      </c>
      <c r="C60" s="119" t="s">
        <v>258</v>
      </c>
      <c r="D60" s="111" t="s">
        <v>260</v>
      </c>
      <c r="E60" s="120">
        <v>1.4E-2</v>
      </c>
      <c r="F60" s="112">
        <v>1.4E-2</v>
      </c>
      <c r="G60" s="112"/>
      <c r="H60" s="112"/>
      <c r="I60" s="111"/>
      <c r="J60" s="112"/>
      <c r="K60" s="111"/>
      <c r="L60" s="112"/>
      <c r="M60" s="113"/>
      <c r="N60" s="112" t="s">
        <v>264</v>
      </c>
    </row>
    <row r="61" spans="1:14" s="114" customFormat="1" ht="18" x14ac:dyDescent="0.25">
      <c r="A61" s="115"/>
      <c r="B61" s="117" t="s">
        <v>262</v>
      </c>
      <c r="C61" s="119" t="s">
        <v>261</v>
      </c>
      <c r="D61" s="111" t="s">
        <v>255</v>
      </c>
      <c r="E61" s="120"/>
      <c r="F61" s="112">
        <v>1</v>
      </c>
      <c r="G61" s="112"/>
      <c r="H61" s="112"/>
      <c r="I61" s="112"/>
      <c r="J61" s="112"/>
      <c r="K61" s="111"/>
      <c r="L61" s="112"/>
      <c r="M61" s="113"/>
      <c r="N61" s="112" t="s">
        <v>264</v>
      </c>
    </row>
    <row r="62" spans="1:14" s="104" customFormat="1" ht="60" x14ac:dyDescent="0.25">
      <c r="A62" s="87" t="s">
        <v>217</v>
      </c>
      <c r="B62" s="95" t="s">
        <v>3</v>
      </c>
      <c r="C62" s="22" t="s">
        <v>59</v>
      </c>
      <c r="D62" s="54" t="s">
        <v>33</v>
      </c>
      <c r="E62" s="101"/>
      <c r="F62" s="102">
        <f>18/1000</f>
        <v>1.7999999999999999E-2</v>
      </c>
      <c r="G62" s="103"/>
      <c r="H62" s="103"/>
      <c r="I62" s="103"/>
      <c r="J62" s="103"/>
      <c r="K62" s="103"/>
      <c r="L62" s="103"/>
      <c r="M62" s="103"/>
      <c r="N62" s="103" t="s">
        <v>264</v>
      </c>
    </row>
    <row r="63" spans="1:14" s="53" customFormat="1" ht="30" x14ac:dyDescent="0.3">
      <c r="A63" s="37"/>
      <c r="B63" s="49" t="s">
        <v>60</v>
      </c>
      <c r="C63" s="50" t="s">
        <v>30</v>
      </c>
      <c r="D63" s="37" t="s">
        <v>31</v>
      </c>
      <c r="E63" s="51">
        <v>9.2100000000000009</v>
      </c>
      <c r="F63" s="52">
        <f>E63*F62</f>
        <v>0.16578000000000001</v>
      </c>
      <c r="G63" s="52"/>
      <c r="H63" s="52"/>
      <c r="I63" s="52"/>
      <c r="J63" s="52"/>
      <c r="K63" s="52"/>
      <c r="L63" s="48"/>
      <c r="M63" s="52"/>
      <c r="N63" s="52" t="s">
        <v>264</v>
      </c>
    </row>
    <row r="64" spans="1:14" s="27" customFormat="1" ht="90" x14ac:dyDescent="0.3">
      <c r="A64" s="20">
        <v>10</v>
      </c>
      <c r="B64" s="21" t="s">
        <v>100</v>
      </c>
      <c r="C64" s="22" t="s">
        <v>61</v>
      </c>
      <c r="D64" s="23" t="s">
        <v>256</v>
      </c>
      <c r="E64" s="7"/>
      <c r="F64" s="72">
        <f>12/1000</f>
        <v>1.2E-2</v>
      </c>
      <c r="G64" s="24"/>
      <c r="H64" s="25"/>
      <c r="I64" s="24"/>
      <c r="J64" s="26"/>
      <c r="K64" s="24"/>
      <c r="L64" s="25"/>
      <c r="M64" s="26"/>
      <c r="N64" s="24" t="s">
        <v>264</v>
      </c>
    </row>
    <row r="65" spans="1:14" s="53" customFormat="1" ht="30" x14ac:dyDescent="0.3">
      <c r="A65" s="37"/>
      <c r="B65" s="49" t="s">
        <v>34</v>
      </c>
      <c r="C65" s="37"/>
      <c r="D65" s="37" t="s">
        <v>58</v>
      </c>
      <c r="E65" s="51">
        <v>13.2</v>
      </c>
      <c r="F65" s="52">
        <f>E65*F64</f>
        <v>0.15839999999999999</v>
      </c>
      <c r="G65" s="52"/>
      <c r="H65" s="48"/>
      <c r="I65" s="52"/>
      <c r="J65" s="52"/>
      <c r="K65" s="52"/>
      <c r="L65" s="48"/>
      <c r="M65" s="52"/>
      <c r="N65" s="52" t="s">
        <v>264</v>
      </c>
    </row>
    <row r="66" spans="1:14" s="53" customFormat="1" ht="30" x14ac:dyDescent="0.3">
      <c r="A66" s="37"/>
      <c r="B66" s="49" t="s">
        <v>36</v>
      </c>
      <c r="C66" s="50" t="s">
        <v>37</v>
      </c>
      <c r="D66" s="37" t="s">
        <v>31</v>
      </c>
      <c r="E66" s="51">
        <v>29.5</v>
      </c>
      <c r="F66" s="52">
        <f>E66*F64</f>
        <v>0.35399999999999998</v>
      </c>
      <c r="G66" s="52"/>
      <c r="H66" s="52"/>
      <c r="I66" s="52"/>
      <c r="J66" s="52"/>
      <c r="K66" s="52"/>
      <c r="L66" s="48"/>
      <c r="M66" s="52"/>
      <c r="N66" s="52" t="s">
        <v>264</v>
      </c>
    </row>
    <row r="67" spans="1:14" s="53" customFormat="1" x14ac:dyDescent="0.3">
      <c r="A67" s="37"/>
      <c r="B67" s="74" t="s">
        <v>44</v>
      </c>
      <c r="C67" s="50"/>
      <c r="D67" s="37" t="s">
        <v>45</v>
      </c>
      <c r="E67" s="51">
        <v>2.1</v>
      </c>
      <c r="F67" s="52">
        <f>E67*F64</f>
        <v>2.52E-2</v>
      </c>
      <c r="G67" s="52"/>
      <c r="H67" s="52"/>
      <c r="I67" s="52"/>
      <c r="J67" s="52"/>
      <c r="K67" s="52"/>
      <c r="L67" s="48"/>
      <c r="M67" s="52"/>
      <c r="N67" s="52" t="s">
        <v>264</v>
      </c>
    </row>
    <row r="68" spans="1:14" s="53" customFormat="1" ht="30" x14ac:dyDescent="0.3">
      <c r="A68" s="37"/>
      <c r="B68" s="74" t="s">
        <v>62</v>
      </c>
      <c r="C68" s="50" t="s">
        <v>63</v>
      </c>
      <c r="D68" s="37" t="s">
        <v>45</v>
      </c>
      <c r="E68" s="51">
        <v>1950</v>
      </c>
      <c r="F68" s="52">
        <f>E68*F64</f>
        <v>23.400000000000002</v>
      </c>
      <c r="G68" s="52"/>
      <c r="H68" s="52"/>
      <c r="I68" s="52"/>
      <c r="J68" s="52"/>
      <c r="K68" s="52"/>
      <c r="L68" s="48"/>
      <c r="M68" s="52"/>
      <c r="N68" s="52" t="s">
        <v>264</v>
      </c>
    </row>
    <row r="69" spans="1:14" s="27" customFormat="1" ht="45" x14ac:dyDescent="0.3">
      <c r="A69" s="20">
        <v>11</v>
      </c>
      <c r="B69" s="21" t="s">
        <v>184</v>
      </c>
      <c r="C69" s="22" t="s">
        <v>178</v>
      </c>
      <c r="D69" s="23" t="s">
        <v>68</v>
      </c>
      <c r="E69" s="7"/>
      <c r="F69" s="72">
        <f>53/100</f>
        <v>0.53</v>
      </c>
      <c r="G69" s="24"/>
      <c r="H69" s="25"/>
      <c r="I69" s="24"/>
      <c r="J69" s="26"/>
      <c r="K69" s="24"/>
      <c r="L69" s="25"/>
      <c r="M69" s="26"/>
      <c r="N69" s="24" t="s">
        <v>264</v>
      </c>
    </row>
    <row r="70" spans="1:14" s="90" customFormat="1" ht="30" x14ac:dyDescent="0.25">
      <c r="A70" s="88"/>
      <c r="B70" s="74" t="s">
        <v>127</v>
      </c>
      <c r="C70" s="88"/>
      <c r="D70" s="89" t="s">
        <v>66</v>
      </c>
      <c r="E70" s="89">
        <v>56.4</v>
      </c>
      <c r="F70" s="56">
        <f>E70*F69</f>
        <v>29.891999999999999</v>
      </c>
      <c r="G70" s="56"/>
      <c r="H70" s="56"/>
      <c r="I70" s="56"/>
      <c r="J70" s="56"/>
      <c r="K70" s="56"/>
      <c r="L70" s="56"/>
      <c r="M70" s="56"/>
      <c r="N70" s="56" t="s">
        <v>264</v>
      </c>
    </row>
    <row r="71" spans="1:14" s="90" customFormat="1" x14ac:dyDescent="0.25">
      <c r="A71" s="91"/>
      <c r="B71" s="74" t="s">
        <v>179</v>
      </c>
      <c r="C71" s="88"/>
      <c r="D71" s="56" t="s">
        <v>45</v>
      </c>
      <c r="E71" s="89">
        <v>4.09</v>
      </c>
      <c r="F71" s="56">
        <f>E71*F69</f>
        <v>2.1677</v>
      </c>
      <c r="G71" s="56"/>
      <c r="H71" s="56"/>
      <c r="I71" s="56"/>
      <c r="J71" s="56"/>
      <c r="K71" s="56"/>
      <c r="L71" s="56"/>
      <c r="M71" s="56"/>
      <c r="N71" s="56" t="s">
        <v>264</v>
      </c>
    </row>
    <row r="72" spans="1:14" s="94" customFormat="1" x14ac:dyDescent="0.25">
      <c r="A72" s="93"/>
      <c r="B72" s="88" t="s">
        <v>67</v>
      </c>
      <c r="C72" s="88"/>
      <c r="D72" s="89"/>
      <c r="E72" s="89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62" customFormat="1" ht="18" x14ac:dyDescent="0.25">
      <c r="A73" s="55"/>
      <c r="B73" s="63" t="s">
        <v>180</v>
      </c>
      <c r="C73" s="57" t="s">
        <v>181</v>
      </c>
      <c r="D73" s="58" t="s">
        <v>112</v>
      </c>
      <c r="E73" s="59">
        <f>0.45</f>
        <v>0.45</v>
      </c>
      <c r="F73" s="60">
        <f>E73*F69</f>
        <v>0.23850000000000002</v>
      </c>
      <c r="G73" s="48"/>
      <c r="H73" s="60"/>
      <c r="I73" s="60"/>
      <c r="J73" s="60"/>
      <c r="K73" s="60"/>
      <c r="L73" s="60"/>
      <c r="M73" s="60"/>
      <c r="N73" s="48" t="s">
        <v>264</v>
      </c>
    </row>
    <row r="74" spans="1:14" s="62" customFormat="1" ht="18" x14ac:dyDescent="0.25">
      <c r="A74" s="55"/>
      <c r="B74" s="63" t="s">
        <v>182</v>
      </c>
      <c r="C74" s="57" t="s">
        <v>183</v>
      </c>
      <c r="D74" s="58" t="s">
        <v>41</v>
      </c>
      <c r="E74" s="59">
        <v>0.75</v>
      </c>
      <c r="F74" s="60">
        <f>E74*F69</f>
        <v>0.39750000000000002</v>
      </c>
      <c r="G74" s="48"/>
      <c r="H74" s="60"/>
      <c r="I74" s="60"/>
      <c r="J74" s="60"/>
      <c r="K74" s="60"/>
      <c r="L74" s="60"/>
      <c r="M74" s="60"/>
      <c r="N74" s="48" t="s">
        <v>264</v>
      </c>
    </row>
    <row r="75" spans="1:14" s="62" customFormat="1" ht="18" x14ac:dyDescent="0.25">
      <c r="A75" s="55"/>
      <c r="B75" s="63" t="s">
        <v>49</v>
      </c>
      <c r="C75" s="57"/>
      <c r="D75" s="58" t="s">
        <v>45</v>
      </c>
      <c r="E75" s="59">
        <v>26.5</v>
      </c>
      <c r="F75" s="60">
        <f>E75*F69</f>
        <v>14.045</v>
      </c>
      <c r="G75" s="48"/>
      <c r="H75" s="60"/>
      <c r="I75" s="60"/>
      <c r="J75" s="60"/>
      <c r="K75" s="60"/>
      <c r="L75" s="60"/>
      <c r="M75" s="60"/>
      <c r="N75" s="48" t="s">
        <v>264</v>
      </c>
    </row>
    <row r="76" spans="1:14" s="27" customFormat="1" ht="45" x14ac:dyDescent="0.3">
      <c r="A76" s="20">
        <v>12</v>
      </c>
      <c r="B76" s="21" t="s">
        <v>143</v>
      </c>
      <c r="C76" s="22" t="s">
        <v>144</v>
      </c>
      <c r="D76" s="23" t="s">
        <v>21</v>
      </c>
      <c r="E76" s="7"/>
      <c r="F76" s="72">
        <v>1</v>
      </c>
      <c r="G76" s="24"/>
      <c r="H76" s="25"/>
      <c r="I76" s="24"/>
      <c r="J76" s="26"/>
      <c r="K76" s="24"/>
      <c r="L76" s="25"/>
      <c r="M76" s="26"/>
      <c r="N76" s="24" t="s">
        <v>264</v>
      </c>
    </row>
    <row r="77" spans="1:14" s="53" customFormat="1" ht="30" x14ac:dyDescent="0.3">
      <c r="A77" s="37"/>
      <c r="B77" s="49" t="s">
        <v>34</v>
      </c>
      <c r="C77" s="37"/>
      <c r="D77" s="37" t="s">
        <v>58</v>
      </c>
      <c r="E77" s="51">
        <v>1.58</v>
      </c>
      <c r="F77" s="52">
        <f>E77*F76</f>
        <v>1.58</v>
      </c>
      <c r="G77" s="52"/>
      <c r="H77" s="48"/>
      <c r="I77" s="52"/>
      <c r="J77" s="52"/>
      <c r="K77" s="52"/>
      <c r="L77" s="48"/>
      <c r="M77" s="52"/>
      <c r="N77" s="52" t="s">
        <v>264</v>
      </c>
    </row>
    <row r="78" spans="1:14" s="53" customFormat="1" x14ac:dyDescent="0.3">
      <c r="A78" s="37"/>
      <c r="B78" s="74" t="s">
        <v>44</v>
      </c>
      <c r="C78" s="50"/>
      <c r="D78" s="37" t="s">
        <v>45</v>
      </c>
      <c r="E78" s="51">
        <v>0.06</v>
      </c>
      <c r="F78" s="52">
        <f>E78*F76</f>
        <v>0.06</v>
      </c>
      <c r="G78" s="52"/>
      <c r="H78" s="52"/>
      <c r="I78" s="52"/>
      <c r="J78" s="52"/>
      <c r="K78" s="52"/>
      <c r="L78" s="48"/>
      <c r="M78" s="52"/>
      <c r="N78" s="52" t="s">
        <v>264</v>
      </c>
    </row>
    <row r="79" spans="1:14" s="62" customFormat="1" ht="18" x14ac:dyDescent="0.25">
      <c r="A79" s="55"/>
      <c r="B79" s="56" t="s">
        <v>40</v>
      </c>
      <c r="C79" s="57"/>
      <c r="D79" s="58"/>
      <c r="E79" s="59"/>
      <c r="F79" s="60"/>
      <c r="G79" s="60"/>
      <c r="H79" s="60"/>
      <c r="I79" s="60"/>
      <c r="J79" s="60"/>
      <c r="K79" s="60"/>
      <c r="L79" s="60"/>
      <c r="M79" s="60"/>
      <c r="N79" s="60"/>
    </row>
    <row r="80" spans="1:14" s="62" customFormat="1" ht="18" x14ac:dyDescent="0.25">
      <c r="A80" s="55"/>
      <c r="B80" s="122" t="s">
        <v>145</v>
      </c>
      <c r="C80" s="57" t="s">
        <v>146</v>
      </c>
      <c r="D80" s="58" t="s">
        <v>21</v>
      </c>
      <c r="E80" s="59">
        <v>1</v>
      </c>
      <c r="F80" s="60">
        <f>E80*F76</f>
        <v>1</v>
      </c>
      <c r="G80" s="48"/>
      <c r="H80" s="60"/>
      <c r="I80" s="60"/>
      <c r="J80" s="60"/>
      <c r="K80" s="60"/>
      <c r="L80" s="60"/>
      <c r="M80" s="60"/>
      <c r="N80" s="48" t="s">
        <v>265</v>
      </c>
    </row>
    <row r="81" spans="1:14" s="62" customFormat="1" ht="18" x14ac:dyDescent="0.25">
      <c r="A81" s="55"/>
      <c r="B81" s="63" t="s">
        <v>49</v>
      </c>
      <c r="C81" s="57"/>
      <c r="D81" s="58" t="s">
        <v>45</v>
      </c>
      <c r="E81" s="59">
        <v>0.4</v>
      </c>
      <c r="F81" s="60">
        <f>E81*F76</f>
        <v>0.4</v>
      </c>
      <c r="G81" s="48"/>
      <c r="H81" s="60"/>
      <c r="I81" s="60"/>
      <c r="J81" s="60"/>
      <c r="K81" s="60"/>
      <c r="L81" s="60"/>
      <c r="M81" s="60"/>
      <c r="N81" s="48" t="s">
        <v>264</v>
      </c>
    </row>
    <row r="82" spans="1:14" s="62" customFormat="1" ht="30" x14ac:dyDescent="0.25">
      <c r="A82" s="20">
        <v>13</v>
      </c>
      <c r="B82" s="21" t="s">
        <v>147</v>
      </c>
      <c r="C82" s="22" t="s">
        <v>148</v>
      </c>
      <c r="D82" s="23" t="s">
        <v>21</v>
      </c>
      <c r="E82" s="7"/>
      <c r="F82" s="72">
        <v>1</v>
      </c>
      <c r="G82" s="24"/>
      <c r="H82" s="25"/>
      <c r="I82" s="24"/>
      <c r="J82" s="26"/>
      <c r="K82" s="24"/>
      <c r="L82" s="25"/>
      <c r="M82" s="26"/>
      <c r="N82" s="24" t="s">
        <v>264</v>
      </c>
    </row>
    <row r="83" spans="1:14" s="53" customFormat="1" ht="30" x14ac:dyDescent="0.3">
      <c r="A83" s="37"/>
      <c r="B83" s="49" t="s">
        <v>34</v>
      </c>
      <c r="C83" s="37"/>
      <c r="D83" s="37" t="s">
        <v>58</v>
      </c>
      <c r="E83" s="51">
        <v>3.1</v>
      </c>
      <c r="F83" s="52">
        <f>E83*F82</f>
        <v>3.1</v>
      </c>
      <c r="G83" s="52"/>
      <c r="H83" s="48"/>
      <c r="I83" s="52"/>
      <c r="J83" s="52"/>
      <c r="K83" s="52"/>
      <c r="L83" s="48"/>
      <c r="M83" s="52"/>
      <c r="N83" s="52" t="s">
        <v>264</v>
      </c>
    </row>
    <row r="84" spans="1:14" s="53" customFormat="1" x14ac:dyDescent="0.3">
      <c r="A84" s="37"/>
      <c r="B84" s="74" t="s">
        <v>44</v>
      </c>
      <c r="C84" s="50"/>
      <c r="D84" s="37" t="s">
        <v>45</v>
      </c>
      <c r="E84" s="51">
        <v>1.23</v>
      </c>
      <c r="F84" s="52">
        <f>E84*F82</f>
        <v>1.23</v>
      </c>
      <c r="G84" s="52"/>
      <c r="H84" s="52"/>
      <c r="I84" s="52"/>
      <c r="J84" s="52"/>
      <c r="K84" s="52"/>
      <c r="L84" s="48"/>
      <c r="M84" s="52"/>
      <c r="N84" s="52" t="s">
        <v>264</v>
      </c>
    </row>
    <row r="85" spans="1:14" s="62" customFormat="1" ht="18" x14ac:dyDescent="0.25">
      <c r="A85" s="55"/>
      <c r="B85" s="56" t="s">
        <v>40</v>
      </c>
      <c r="C85" s="57"/>
      <c r="D85" s="58"/>
      <c r="E85" s="59"/>
      <c r="F85" s="60"/>
      <c r="G85" s="60"/>
      <c r="H85" s="60"/>
      <c r="I85" s="60"/>
      <c r="J85" s="60"/>
      <c r="K85" s="60"/>
      <c r="L85" s="60"/>
      <c r="M85" s="60"/>
      <c r="N85" s="60"/>
    </row>
    <row r="86" spans="1:14" s="62" customFormat="1" ht="30" x14ac:dyDescent="0.25">
      <c r="A86" s="55"/>
      <c r="B86" s="122" t="s">
        <v>149</v>
      </c>
      <c r="C86" s="57" t="s">
        <v>150</v>
      </c>
      <c r="D86" s="58" t="s">
        <v>21</v>
      </c>
      <c r="E86" s="59">
        <v>1</v>
      </c>
      <c r="F86" s="60">
        <f>E86*F82</f>
        <v>1</v>
      </c>
      <c r="G86" s="48"/>
      <c r="H86" s="60"/>
      <c r="I86" s="60"/>
      <c r="J86" s="60"/>
      <c r="K86" s="60"/>
      <c r="L86" s="60"/>
      <c r="M86" s="60"/>
      <c r="N86" s="48" t="s">
        <v>265</v>
      </c>
    </row>
    <row r="87" spans="1:14" s="62" customFormat="1" ht="18" x14ac:dyDescent="0.25">
      <c r="A87" s="55"/>
      <c r="B87" s="63" t="s">
        <v>49</v>
      </c>
      <c r="C87" s="57"/>
      <c r="D87" s="58" t="s">
        <v>45</v>
      </c>
      <c r="E87" s="59">
        <v>1.18</v>
      </c>
      <c r="F87" s="60">
        <f>E87*F82</f>
        <v>1.18</v>
      </c>
      <c r="G87" s="48"/>
      <c r="H87" s="60"/>
      <c r="I87" s="60"/>
      <c r="J87" s="60"/>
      <c r="K87" s="60"/>
      <c r="L87" s="60"/>
      <c r="M87" s="60"/>
      <c r="N87" s="48" t="s">
        <v>264</v>
      </c>
    </row>
    <row r="88" spans="1:14" s="27" customFormat="1" ht="30" x14ac:dyDescent="0.3">
      <c r="A88" s="20">
        <v>14</v>
      </c>
      <c r="B88" s="21" t="s">
        <v>151</v>
      </c>
      <c r="C88" s="22" t="s">
        <v>152</v>
      </c>
      <c r="D88" s="20" t="s">
        <v>153</v>
      </c>
      <c r="E88" s="7"/>
      <c r="F88" s="72">
        <v>0.5</v>
      </c>
      <c r="G88" s="24"/>
      <c r="H88" s="25"/>
      <c r="I88" s="24"/>
      <c r="J88" s="26"/>
      <c r="K88" s="24"/>
      <c r="L88" s="25"/>
      <c r="M88" s="26"/>
      <c r="N88" s="24" t="s">
        <v>264</v>
      </c>
    </row>
    <row r="89" spans="1:14" s="53" customFormat="1" ht="30" x14ac:dyDescent="0.3">
      <c r="A89" s="37"/>
      <c r="B89" s="49" t="s">
        <v>34</v>
      </c>
      <c r="C89" s="37"/>
      <c r="D89" s="37" t="s">
        <v>137</v>
      </c>
      <c r="E89" s="51">
        <f>160/100</f>
        <v>1.6</v>
      </c>
      <c r="F89" s="52">
        <f>E89*F88</f>
        <v>0.8</v>
      </c>
      <c r="G89" s="52"/>
      <c r="H89" s="48"/>
      <c r="I89" s="52"/>
      <c r="J89" s="52"/>
      <c r="K89" s="52"/>
      <c r="L89" s="48"/>
      <c r="M89" s="52"/>
      <c r="N89" s="52" t="s">
        <v>264</v>
      </c>
    </row>
    <row r="90" spans="1:14" s="53" customFormat="1" x14ac:dyDescent="0.3">
      <c r="A90" s="37"/>
      <c r="B90" s="74" t="s">
        <v>44</v>
      </c>
      <c r="C90" s="50"/>
      <c r="D90" s="37" t="s">
        <v>45</v>
      </c>
      <c r="E90" s="51">
        <f>14.8/100</f>
        <v>0.14800000000000002</v>
      </c>
      <c r="F90" s="52">
        <f>E90*F88</f>
        <v>7.400000000000001E-2</v>
      </c>
      <c r="G90" s="52"/>
      <c r="H90" s="52"/>
      <c r="I90" s="52"/>
      <c r="J90" s="52"/>
      <c r="K90" s="52"/>
      <c r="L90" s="48"/>
      <c r="M90" s="52"/>
      <c r="N90" s="52" t="s">
        <v>264</v>
      </c>
    </row>
    <row r="91" spans="1:14" s="62" customFormat="1" ht="18" x14ac:dyDescent="0.25">
      <c r="A91" s="55"/>
      <c r="B91" s="56" t="s">
        <v>40</v>
      </c>
      <c r="C91" s="57"/>
      <c r="D91" s="58"/>
      <c r="E91" s="59"/>
      <c r="F91" s="60"/>
      <c r="G91" s="60"/>
      <c r="H91" s="60"/>
      <c r="I91" s="60"/>
      <c r="J91" s="60"/>
      <c r="K91" s="60"/>
      <c r="L91" s="60"/>
      <c r="M91" s="60"/>
      <c r="N91" s="60"/>
    </row>
    <row r="92" spans="1:14" s="62" customFormat="1" ht="18" x14ac:dyDescent="0.25">
      <c r="A92" s="55"/>
      <c r="B92" s="122" t="s">
        <v>154</v>
      </c>
      <c r="C92" s="57" t="s">
        <v>155</v>
      </c>
      <c r="D92" s="58" t="s">
        <v>48</v>
      </c>
      <c r="E92" s="59">
        <v>1</v>
      </c>
      <c r="F92" s="60">
        <f>E92*F88</f>
        <v>0.5</v>
      </c>
      <c r="G92" s="48"/>
      <c r="H92" s="60"/>
      <c r="I92" s="60"/>
      <c r="J92" s="60"/>
      <c r="K92" s="60"/>
      <c r="L92" s="60"/>
      <c r="M92" s="60"/>
      <c r="N92" s="48" t="s">
        <v>265</v>
      </c>
    </row>
    <row r="93" spans="1:14" s="62" customFormat="1" ht="18" x14ac:dyDescent="0.25">
      <c r="A93" s="55"/>
      <c r="B93" s="63" t="s">
        <v>49</v>
      </c>
      <c r="C93" s="57"/>
      <c r="D93" s="58" t="s">
        <v>45</v>
      </c>
      <c r="E93" s="59">
        <f>12.8/100</f>
        <v>0.128</v>
      </c>
      <c r="F93" s="60">
        <f>E93*F88</f>
        <v>6.4000000000000001E-2</v>
      </c>
      <c r="G93" s="48"/>
      <c r="H93" s="60"/>
      <c r="I93" s="60"/>
      <c r="J93" s="60"/>
      <c r="K93" s="60"/>
      <c r="L93" s="60"/>
      <c r="M93" s="60"/>
      <c r="N93" s="48" t="s">
        <v>264</v>
      </c>
    </row>
    <row r="94" spans="1:14" s="27" customFormat="1" ht="30" x14ac:dyDescent="0.3">
      <c r="A94" s="20">
        <v>15</v>
      </c>
      <c r="B94" s="21" t="s">
        <v>156</v>
      </c>
      <c r="C94" s="22" t="s">
        <v>157</v>
      </c>
      <c r="D94" s="23" t="s">
        <v>21</v>
      </c>
      <c r="E94" s="7"/>
      <c r="F94" s="72">
        <v>2</v>
      </c>
      <c r="G94" s="24"/>
      <c r="H94" s="25"/>
      <c r="I94" s="24"/>
      <c r="J94" s="26"/>
      <c r="K94" s="24"/>
      <c r="L94" s="25"/>
      <c r="M94" s="26"/>
      <c r="N94" s="24" t="s">
        <v>264</v>
      </c>
    </row>
    <row r="95" spans="1:14" s="53" customFormat="1" ht="30" x14ac:dyDescent="0.3">
      <c r="A95" s="37"/>
      <c r="B95" s="49" t="s">
        <v>34</v>
      </c>
      <c r="C95" s="37"/>
      <c r="D95" s="37" t="s">
        <v>58</v>
      </c>
      <c r="E95" s="51">
        <v>0.92</v>
      </c>
      <c r="F95" s="52">
        <f>E95*F94</f>
        <v>1.84</v>
      </c>
      <c r="G95" s="52"/>
      <c r="H95" s="48"/>
      <c r="I95" s="52"/>
      <c r="J95" s="52"/>
      <c r="K95" s="52"/>
      <c r="L95" s="48"/>
      <c r="M95" s="52"/>
      <c r="N95" s="52" t="s">
        <v>264</v>
      </c>
    </row>
    <row r="96" spans="1:14" s="53" customFormat="1" x14ac:dyDescent="0.3">
      <c r="A96" s="37"/>
      <c r="B96" s="74" t="s">
        <v>44</v>
      </c>
      <c r="C96" s="50"/>
      <c r="D96" s="37" t="s">
        <v>45</v>
      </c>
      <c r="E96" s="51">
        <v>0.57999999999999996</v>
      </c>
      <c r="F96" s="52">
        <f>E96*F94</f>
        <v>1.1599999999999999</v>
      </c>
      <c r="G96" s="52"/>
      <c r="H96" s="52"/>
      <c r="I96" s="52"/>
      <c r="J96" s="52"/>
      <c r="K96" s="52"/>
      <c r="L96" s="48"/>
      <c r="M96" s="52"/>
      <c r="N96" s="52" t="s">
        <v>264</v>
      </c>
    </row>
    <row r="97" spans="1:14" s="62" customFormat="1" ht="18" x14ac:dyDescent="0.25">
      <c r="A97" s="55"/>
      <c r="B97" s="56" t="s">
        <v>40</v>
      </c>
      <c r="C97" s="57"/>
      <c r="D97" s="58"/>
      <c r="E97" s="59"/>
      <c r="F97" s="60"/>
      <c r="G97" s="60"/>
      <c r="H97" s="60"/>
      <c r="I97" s="60"/>
      <c r="J97" s="60"/>
      <c r="K97" s="60"/>
      <c r="L97" s="60"/>
      <c r="M97" s="60"/>
      <c r="N97" s="60"/>
    </row>
    <row r="98" spans="1:14" s="62" customFormat="1" ht="30" x14ac:dyDescent="0.25">
      <c r="A98" s="55"/>
      <c r="B98" s="122" t="s">
        <v>158</v>
      </c>
      <c r="C98" s="57" t="s">
        <v>159</v>
      </c>
      <c r="D98" s="58" t="s">
        <v>21</v>
      </c>
      <c r="E98" s="59">
        <v>1</v>
      </c>
      <c r="F98" s="60">
        <f>E98*F94</f>
        <v>2</v>
      </c>
      <c r="G98" s="48"/>
      <c r="H98" s="60"/>
      <c r="I98" s="60"/>
      <c r="J98" s="60"/>
      <c r="K98" s="60"/>
      <c r="L98" s="60"/>
      <c r="M98" s="60"/>
      <c r="N98" s="48" t="s">
        <v>265</v>
      </c>
    </row>
    <row r="99" spans="1:14" s="62" customFormat="1" ht="18" x14ac:dyDescent="0.25">
      <c r="A99" s="55"/>
      <c r="B99" s="63" t="s">
        <v>49</v>
      </c>
      <c r="C99" s="57"/>
      <c r="D99" s="58" t="s">
        <v>45</v>
      </c>
      <c r="E99" s="59">
        <v>0.08</v>
      </c>
      <c r="F99" s="60">
        <f>E99*F94</f>
        <v>0.16</v>
      </c>
      <c r="G99" s="48"/>
      <c r="H99" s="60"/>
      <c r="I99" s="60"/>
      <c r="J99" s="60"/>
      <c r="K99" s="60"/>
      <c r="L99" s="60"/>
      <c r="M99" s="60"/>
      <c r="N99" s="48" t="s">
        <v>264</v>
      </c>
    </row>
    <row r="100" spans="1:14" s="27" customFormat="1" ht="30" x14ac:dyDescent="0.3">
      <c r="A100" s="20">
        <v>16</v>
      </c>
      <c r="B100" s="21" t="s">
        <v>214</v>
      </c>
      <c r="C100" s="22" t="s">
        <v>173</v>
      </c>
      <c r="D100" s="23" t="s">
        <v>21</v>
      </c>
      <c r="E100" s="7"/>
      <c r="F100" s="72">
        <v>2</v>
      </c>
      <c r="G100" s="24"/>
      <c r="H100" s="25"/>
      <c r="I100" s="24"/>
      <c r="J100" s="26"/>
      <c r="K100" s="24"/>
      <c r="L100" s="25"/>
      <c r="M100" s="26"/>
      <c r="N100" s="24" t="s">
        <v>264</v>
      </c>
    </row>
    <row r="101" spans="1:14" s="53" customFormat="1" ht="30" x14ac:dyDescent="0.3">
      <c r="A101" s="37"/>
      <c r="B101" s="49" t="s">
        <v>34</v>
      </c>
      <c r="C101" s="37"/>
      <c r="D101" s="37" t="s">
        <v>58</v>
      </c>
      <c r="E101" s="51">
        <v>3.1</v>
      </c>
      <c r="F101" s="52">
        <f>E101*F100</f>
        <v>6.2</v>
      </c>
      <c r="G101" s="52"/>
      <c r="H101" s="48"/>
      <c r="I101" s="52"/>
      <c r="J101" s="52"/>
      <c r="K101" s="52"/>
      <c r="L101" s="48"/>
      <c r="M101" s="52"/>
      <c r="N101" s="52" t="s">
        <v>264</v>
      </c>
    </row>
    <row r="102" spans="1:14" s="53" customFormat="1" x14ac:dyDescent="0.3">
      <c r="A102" s="37"/>
      <c r="B102" s="74" t="s">
        <v>44</v>
      </c>
      <c r="C102" s="50"/>
      <c r="D102" s="37" t="s">
        <v>45</v>
      </c>
      <c r="E102" s="51">
        <v>2.0099999999999998</v>
      </c>
      <c r="F102" s="52">
        <f>E102*F100</f>
        <v>4.0199999999999996</v>
      </c>
      <c r="G102" s="52"/>
      <c r="H102" s="52"/>
      <c r="I102" s="52"/>
      <c r="J102" s="52"/>
      <c r="K102" s="52"/>
      <c r="L102" s="48"/>
      <c r="M102" s="52"/>
      <c r="N102" s="52" t="s">
        <v>264</v>
      </c>
    </row>
    <row r="103" spans="1:14" s="62" customFormat="1" ht="18" x14ac:dyDescent="0.25">
      <c r="A103" s="55"/>
      <c r="B103" s="56" t="s">
        <v>40</v>
      </c>
      <c r="C103" s="57"/>
      <c r="D103" s="58"/>
      <c r="E103" s="59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1:14" s="62" customFormat="1" ht="18" x14ac:dyDescent="0.25">
      <c r="A104" s="55"/>
      <c r="B104" s="122" t="s">
        <v>215</v>
      </c>
      <c r="C104" s="57" t="s">
        <v>174</v>
      </c>
      <c r="D104" s="58" t="s">
        <v>21</v>
      </c>
      <c r="E104" s="59">
        <v>1</v>
      </c>
      <c r="F104" s="60">
        <f>E104*F100</f>
        <v>2</v>
      </c>
      <c r="G104" s="60"/>
      <c r="H104" s="60"/>
      <c r="I104" s="60"/>
      <c r="J104" s="60"/>
      <c r="K104" s="60"/>
      <c r="L104" s="60"/>
      <c r="M104" s="60"/>
      <c r="N104" s="60" t="s">
        <v>265</v>
      </c>
    </row>
    <row r="105" spans="1:14" s="62" customFormat="1" ht="18" x14ac:dyDescent="0.25">
      <c r="A105" s="55"/>
      <c r="B105" s="63" t="s">
        <v>49</v>
      </c>
      <c r="C105" s="57"/>
      <c r="D105" s="58" t="s">
        <v>45</v>
      </c>
      <c r="E105" s="59">
        <v>0.71</v>
      </c>
      <c r="F105" s="60">
        <f>E105*F100</f>
        <v>1.42</v>
      </c>
      <c r="G105" s="48"/>
      <c r="H105" s="60"/>
      <c r="I105" s="60"/>
      <c r="J105" s="60"/>
      <c r="K105" s="60"/>
      <c r="L105" s="60"/>
      <c r="M105" s="60"/>
      <c r="N105" s="48" t="s">
        <v>264</v>
      </c>
    </row>
    <row r="106" spans="1:14" s="27" customFormat="1" ht="45" x14ac:dyDescent="0.3">
      <c r="A106" s="20">
        <v>17</v>
      </c>
      <c r="B106" s="21" t="s">
        <v>213</v>
      </c>
      <c r="C106" s="22" t="s">
        <v>175</v>
      </c>
      <c r="D106" s="23" t="s">
        <v>21</v>
      </c>
      <c r="E106" s="7"/>
      <c r="F106" s="72">
        <v>1</v>
      </c>
      <c r="G106" s="24"/>
      <c r="H106" s="25"/>
      <c r="I106" s="24"/>
      <c r="J106" s="26"/>
      <c r="K106" s="24"/>
      <c r="L106" s="25"/>
      <c r="M106" s="26"/>
      <c r="N106" s="24" t="s">
        <v>264</v>
      </c>
    </row>
    <row r="107" spans="1:14" s="53" customFormat="1" ht="30" x14ac:dyDescent="0.3">
      <c r="A107" s="37"/>
      <c r="B107" s="49" t="s">
        <v>34</v>
      </c>
      <c r="C107" s="37"/>
      <c r="D107" s="37" t="s">
        <v>58</v>
      </c>
      <c r="E107" s="51">
        <v>16.899999999999999</v>
      </c>
      <c r="F107" s="52">
        <f>E107*F106</f>
        <v>16.899999999999999</v>
      </c>
      <c r="G107" s="52"/>
      <c r="H107" s="48"/>
      <c r="I107" s="52"/>
      <c r="J107" s="52"/>
      <c r="K107" s="52"/>
      <c r="L107" s="48"/>
      <c r="M107" s="52"/>
      <c r="N107" s="52" t="s">
        <v>264</v>
      </c>
    </row>
    <row r="108" spans="1:14" s="53" customFormat="1" x14ac:dyDescent="0.3">
      <c r="A108" s="37"/>
      <c r="B108" s="74" t="s">
        <v>44</v>
      </c>
      <c r="C108" s="50"/>
      <c r="D108" s="37" t="s">
        <v>45</v>
      </c>
      <c r="E108" s="51">
        <v>7.89</v>
      </c>
      <c r="F108" s="52">
        <f>E108*F106</f>
        <v>7.89</v>
      </c>
      <c r="G108" s="52"/>
      <c r="H108" s="52"/>
      <c r="I108" s="52"/>
      <c r="J108" s="52"/>
      <c r="K108" s="52"/>
      <c r="L108" s="48"/>
      <c r="M108" s="52"/>
      <c r="N108" s="52" t="s">
        <v>264</v>
      </c>
    </row>
    <row r="109" spans="1:14" s="62" customFormat="1" ht="18" x14ac:dyDescent="0.25">
      <c r="A109" s="55"/>
      <c r="B109" s="56" t="s">
        <v>40</v>
      </c>
      <c r="C109" s="57"/>
      <c r="D109" s="58"/>
      <c r="E109" s="59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s="62" customFormat="1" ht="30" x14ac:dyDescent="0.25">
      <c r="A110" s="55"/>
      <c r="B110" s="123" t="s">
        <v>212</v>
      </c>
      <c r="C110" s="57"/>
      <c r="D110" s="58" t="s">
        <v>21</v>
      </c>
      <c r="E110" s="59">
        <v>1</v>
      </c>
      <c r="F110" s="60">
        <f>E110*F106</f>
        <v>1</v>
      </c>
      <c r="G110" s="60"/>
      <c r="H110" s="60"/>
      <c r="I110" s="60"/>
      <c r="J110" s="60"/>
      <c r="K110" s="60"/>
      <c r="L110" s="60"/>
      <c r="M110" s="60"/>
      <c r="N110" s="60" t="s">
        <v>265</v>
      </c>
    </row>
    <row r="111" spans="1:14" s="62" customFormat="1" ht="18" x14ac:dyDescent="0.25">
      <c r="A111" s="55"/>
      <c r="B111" s="63" t="s">
        <v>49</v>
      </c>
      <c r="C111" s="57"/>
      <c r="D111" s="58" t="s">
        <v>45</v>
      </c>
      <c r="E111" s="59">
        <v>4.3899999999999997</v>
      </c>
      <c r="F111" s="60">
        <f>E111*F106</f>
        <v>4.3899999999999997</v>
      </c>
      <c r="G111" s="48"/>
      <c r="H111" s="60"/>
      <c r="I111" s="60"/>
      <c r="J111" s="60"/>
      <c r="K111" s="60"/>
      <c r="L111" s="60"/>
      <c r="M111" s="60"/>
      <c r="N111" s="48" t="s">
        <v>264</v>
      </c>
    </row>
    <row r="112" spans="1:14" ht="30" x14ac:dyDescent="0.25">
      <c r="A112" s="20">
        <v>18</v>
      </c>
      <c r="B112" s="21" t="s">
        <v>216</v>
      </c>
      <c r="C112" s="22" t="s">
        <v>175</v>
      </c>
      <c r="D112" s="23" t="s">
        <v>21</v>
      </c>
      <c r="E112" s="7"/>
      <c r="F112" s="72">
        <v>1</v>
      </c>
      <c r="G112" s="24"/>
      <c r="H112" s="25"/>
      <c r="I112" s="24"/>
      <c r="J112" s="26"/>
      <c r="K112" s="24"/>
      <c r="L112" s="25"/>
      <c r="M112" s="26"/>
      <c r="N112" s="24" t="s">
        <v>264</v>
      </c>
    </row>
    <row r="113" spans="1:14" s="53" customFormat="1" ht="30" x14ac:dyDescent="0.3">
      <c r="A113" s="37"/>
      <c r="B113" s="49" t="s">
        <v>34</v>
      </c>
      <c r="C113" s="37"/>
      <c r="D113" s="37" t="s">
        <v>58</v>
      </c>
      <c r="E113" s="51">
        <v>16.899999999999999</v>
      </c>
      <c r="F113" s="52">
        <f>E113*F112</f>
        <v>16.899999999999999</v>
      </c>
      <c r="G113" s="52"/>
      <c r="H113" s="48"/>
      <c r="I113" s="52"/>
      <c r="J113" s="52"/>
      <c r="K113" s="52"/>
      <c r="L113" s="48"/>
      <c r="M113" s="52"/>
      <c r="N113" s="52" t="s">
        <v>264</v>
      </c>
    </row>
    <row r="114" spans="1:14" s="53" customFormat="1" x14ac:dyDescent="0.3">
      <c r="A114" s="37"/>
      <c r="B114" s="64" t="s">
        <v>44</v>
      </c>
      <c r="C114" s="50"/>
      <c r="D114" s="37" t="s">
        <v>45</v>
      </c>
      <c r="E114" s="51">
        <v>7.89</v>
      </c>
      <c r="F114" s="52">
        <f>E114*F112</f>
        <v>7.89</v>
      </c>
      <c r="G114" s="52"/>
      <c r="H114" s="52"/>
      <c r="I114" s="52"/>
      <c r="J114" s="52"/>
      <c r="K114" s="52"/>
      <c r="L114" s="48"/>
      <c r="M114" s="52"/>
      <c r="N114" s="52" t="s">
        <v>264</v>
      </c>
    </row>
    <row r="115" spans="1:14" s="70" customFormat="1" ht="18" x14ac:dyDescent="0.25">
      <c r="A115" s="65"/>
      <c r="B115" s="66" t="s">
        <v>40</v>
      </c>
      <c r="C115" s="50"/>
      <c r="D115" s="67"/>
      <c r="E115" s="59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s="70" customFormat="1" ht="30" x14ac:dyDescent="0.25">
      <c r="A116" s="65"/>
      <c r="B116" s="122" t="s">
        <v>216</v>
      </c>
      <c r="C116" s="50"/>
      <c r="D116" s="67" t="s">
        <v>21</v>
      </c>
      <c r="E116" s="59">
        <v>1</v>
      </c>
      <c r="F116" s="48">
        <f>E116*F112</f>
        <v>1</v>
      </c>
      <c r="G116" s="60"/>
      <c r="H116" s="48"/>
      <c r="I116" s="48"/>
      <c r="J116" s="48"/>
      <c r="K116" s="48"/>
      <c r="L116" s="48"/>
      <c r="M116" s="48"/>
      <c r="N116" s="60" t="s">
        <v>265</v>
      </c>
    </row>
    <row r="117" spans="1:14" s="70" customFormat="1" ht="18" x14ac:dyDescent="0.25">
      <c r="A117" s="65"/>
      <c r="B117" s="71" t="s">
        <v>49</v>
      </c>
      <c r="C117" s="50"/>
      <c r="D117" s="67" t="s">
        <v>45</v>
      </c>
      <c r="E117" s="59">
        <v>4.3899999999999997</v>
      </c>
      <c r="F117" s="48">
        <f>E117*F112</f>
        <v>4.3899999999999997</v>
      </c>
      <c r="G117" s="48"/>
      <c r="H117" s="48"/>
      <c r="I117" s="48"/>
      <c r="J117" s="48"/>
      <c r="K117" s="48"/>
      <c r="L117" s="48"/>
      <c r="M117" s="48"/>
      <c r="N117" s="48" t="s">
        <v>264</v>
      </c>
    </row>
    <row r="118" spans="1:14" s="27" customFormat="1" ht="45" x14ac:dyDescent="0.3">
      <c r="A118" s="87" t="s">
        <v>219</v>
      </c>
      <c r="B118" s="21" t="s">
        <v>218</v>
      </c>
      <c r="C118" s="22" t="s">
        <v>104</v>
      </c>
      <c r="D118" s="23" t="s">
        <v>101</v>
      </c>
      <c r="E118" s="7"/>
      <c r="F118" s="72">
        <f>0.4/100</f>
        <v>4.0000000000000001E-3</v>
      </c>
      <c r="G118" s="24"/>
      <c r="H118" s="25"/>
      <c r="I118" s="24"/>
      <c r="J118" s="26"/>
      <c r="K118" s="24"/>
      <c r="L118" s="25"/>
      <c r="M118" s="26"/>
      <c r="N118" s="24" t="s">
        <v>264</v>
      </c>
    </row>
    <row r="119" spans="1:14" s="53" customFormat="1" ht="30" x14ac:dyDescent="0.3">
      <c r="A119" s="37"/>
      <c r="B119" s="49" t="s">
        <v>34</v>
      </c>
      <c r="C119" s="37"/>
      <c r="D119" s="37" t="s">
        <v>58</v>
      </c>
      <c r="E119" s="51">
        <v>137</v>
      </c>
      <c r="F119" s="52">
        <f>E119*F118</f>
        <v>0.54800000000000004</v>
      </c>
      <c r="G119" s="52"/>
      <c r="H119" s="48"/>
      <c r="I119" s="52"/>
      <c r="J119" s="52"/>
      <c r="K119" s="52"/>
      <c r="L119" s="48"/>
      <c r="M119" s="52"/>
      <c r="N119" s="52" t="s">
        <v>264</v>
      </c>
    </row>
    <row r="120" spans="1:14" s="53" customFormat="1" x14ac:dyDescent="0.3">
      <c r="A120" s="37"/>
      <c r="B120" s="74" t="s">
        <v>44</v>
      </c>
      <c r="C120" s="50"/>
      <c r="D120" s="37" t="s">
        <v>45</v>
      </c>
      <c r="E120" s="51">
        <v>28.3</v>
      </c>
      <c r="F120" s="52">
        <f>E120*F118</f>
        <v>0.11320000000000001</v>
      </c>
      <c r="G120" s="52"/>
      <c r="H120" s="52"/>
      <c r="I120" s="52"/>
      <c r="J120" s="52"/>
      <c r="K120" s="52"/>
      <c r="L120" s="48"/>
      <c r="M120" s="52"/>
      <c r="N120" s="52" t="s">
        <v>264</v>
      </c>
    </row>
    <row r="121" spans="1:14" s="62" customFormat="1" ht="18" x14ac:dyDescent="0.25">
      <c r="A121" s="55"/>
      <c r="B121" s="56" t="s">
        <v>40</v>
      </c>
      <c r="C121" s="57"/>
      <c r="D121" s="58"/>
      <c r="E121" s="59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1:14" s="70" customFormat="1" ht="18" x14ac:dyDescent="0.25">
      <c r="A122" s="65"/>
      <c r="B122" s="71" t="s">
        <v>105</v>
      </c>
      <c r="C122" s="50" t="s">
        <v>106</v>
      </c>
      <c r="D122" s="67" t="s">
        <v>41</v>
      </c>
      <c r="E122" s="68">
        <v>102</v>
      </c>
      <c r="F122" s="48">
        <f>E122*F118</f>
        <v>0.40800000000000003</v>
      </c>
      <c r="G122" s="48"/>
      <c r="H122" s="48"/>
      <c r="I122" s="48"/>
      <c r="J122" s="48"/>
      <c r="K122" s="48"/>
      <c r="L122" s="48"/>
      <c r="M122" s="48"/>
      <c r="N122" s="48" t="s">
        <v>264</v>
      </c>
    </row>
    <row r="123" spans="1:14" s="62" customFormat="1" ht="18" x14ac:dyDescent="0.25">
      <c r="A123" s="55"/>
      <c r="B123" s="63" t="s">
        <v>49</v>
      </c>
      <c r="C123" s="57"/>
      <c r="D123" s="58" t="s">
        <v>45</v>
      </c>
      <c r="E123" s="59">
        <v>62</v>
      </c>
      <c r="F123" s="60">
        <f>E123*F118</f>
        <v>0.248</v>
      </c>
      <c r="G123" s="48"/>
      <c r="H123" s="60"/>
      <c r="I123" s="60"/>
      <c r="J123" s="60"/>
      <c r="K123" s="60"/>
      <c r="L123" s="60"/>
      <c r="M123" s="60"/>
      <c r="N123" s="48" t="s">
        <v>264</v>
      </c>
    </row>
    <row r="124" spans="1:14" s="53" customFormat="1" ht="30" x14ac:dyDescent="0.3">
      <c r="A124" s="20">
        <v>20</v>
      </c>
      <c r="B124" s="21" t="s">
        <v>220</v>
      </c>
      <c r="C124" s="22" t="s">
        <v>57</v>
      </c>
      <c r="D124" s="23" t="s">
        <v>112</v>
      </c>
      <c r="E124" s="7"/>
      <c r="F124" s="72">
        <f>F128*102/1000</f>
        <v>1.3260000000000001</v>
      </c>
      <c r="G124" s="24"/>
      <c r="H124" s="25"/>
      <c r="I124" s="24"/>
      <c r="J124" s="26"/>
      <c r="K124" s="24"/>
      <c r="L124" s="25"/>
      <c r="M124" s="26"/>
      <c r="N124" s="24" t="s">
        <v>264</v>
      </c>
    </row>
    <row r="125" spans="1:14" s="90" customFormat="1" ht="30" x14ac:dyDescent="0.25">
      <c r="A125" s="88"/>
      <c r="B125" s="74" t="s">
        <v>127</v>
      </c>
      <c r="C125" s="88"/>
      <c r="D125" s="89" t="s">
        <v>58</v>
      </c>
      <c r="E125" s="89">
        <v>134</v>
      </c>
      <c r="F125" s="56">
        <f>E125*F124</f>
        <v>177.684</v>
      </c>
      <c r="G125" s="56"/>
      <c r="H125" s="56"/>
      <c r="I125" s="56"/>
      <c r="J125" s="56"/>
      <c r="K125" s="56"/>
      <c r="L125" s="56"/>
      <c r="M125" s="56"/>
      <c r="N125" s="56" t="s">
        <v>264</v>
      </c>
    </row>
    <row r="126" spans="1:14" s="90" customFormat="1" x14ac:dyDescent="0.25">
      <c r="A126" s="91"/>
      <c r="B126" s="74" t="s">
        <v>44</v>
      </c>
      <c r="C126" s="88"/>
      <c r="D126" s="56" t="s">
        <v>45</v>
      </c>
      <c r="E126" s="89">
        <v>129</v>
      </c>
      <c r="F126" s="56">
        <f>E126*F124</f>
        <v>171.054</v>
      </c>
      <c r="G126" s="56"/>
      <c r="H126" s="56"/>
      <c r="I126" s="56"/>
      <c r="J126" s="56"/>
      <c r="K126" s="56"/>
      <c r="L126" s="56"/>
      <c r="M126" s="56"/>
      <c r="N126" s="56" t="s">
        <v>264</v>
      </c>
    </row>
    <row r="127" spans="1:14" s="94" customFormat="1" x14ac:dyDescent="0.25">
      <c r="A127" s="93"/>
      <c r="B127" s="88" t="s">
        <v>40</v>
      </c>
      <c r="C127" s="88"/>
      <c r="D127" s="89"/>
      <c r="E127" s="89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s="62" customFormat="1" ht="30" x14ac:dyDescent="0.25">
      <c r="A128" s="55"/>
      <c r="B128" s="49" t="s">
        <v>220</v>
      </c>
      <c r="C128" s="50" t="s">
        <v>47</v>
      </c>
      <c r="D128" s="58" t="s">
        <v>48</v>
      </c>
      <c r="E128" s="59" t="s">
        <v>113</v>
      </c>
      <c r="F128" s="60">
        <f>0.25*52</f>
        <v>13</v>
      </c>
      <c r="G128" s="48"/>
      <c r="H128" s="60"/>
      <c r="I128" s="60"/>
      <c r="J128" s="60"/>
      <c r="K128" s="60"/>
      <c r="L128" s="60"/>
      <c r="M128" s="60"/>
      <c r="N128" s="48" t="s">
        <v>264</v>
      </c>
    </row>
    <row r="129" spans="1:14" s="62" customFormat="1" ht="18" x14ac:dyDescent="0.25">
      <c r="A129" s="55"/>
      <c r="B129" s="63" t="s">
        <v>49</v>
      </c>
      <c r="C129" s="57"/>
      <c r="D129" s="58" t="s">
        <v>45</v>
      </c>
      <c r="E129" s="59">
        <v>45.2</v>
      </c>
      <c r="F129" s="60">
        <f>E129*F124</f>
        <v>59.935200000000009</v>
      </c>
      <c r="G129" s="48"/>
      <c r="H129" s="60"/>
      <c r="I129" s="60"/>
      <c r="J129" s="60"/>
      <c r="K129" s="60"/>
      <c r="L129" s="60"/>
      <c r="M129" s="60"/>
      <c r="N129" s="48" t="s">
        <v>264</v>
      </c>
    </row>
    <row r="130" spans="1:14" s="53" customFormat="1" ht="30" x14ac:dyDescent="0.3">
      <c r="A130" s="20">
        <v>21</v>
      </c>
      <c r="B130" s="21" t="s">
        <v>221</v>
      </c>
      <c r="C130" s="22" t="s">
        <v>160</v>
      </c>
      <c r="D130" s="23" t="s">
        <v>112</v>
      </c>
      <c r="E130" s="7"/>
      <c r="F130" s="72">
        <f>F134*15/1000</f>
        <v>7.4999999999999997E-3</v>
      </c>
      <c r="G130" s="24"/>
      <c r="H130" s="25"/>
      <c r="I130" s="24"/>
      <c r="J130" s="26"/>
      <c r="K130" s="24"/>
      <c r="L130" s="25"/>
      <c r="M130" s="26"/>
      <c r="N130" s="24" t="s">
        <v>264</v>
      </c>
    </row>
    <row r="131" spans="1:14" s="90" customFormat="1" ht="30" x14ac:dyDescent="0.25">
      <c r="A131" s="88"/>
      <c r="B131" s="74" t="s">
        <v>127</v>
      </c>
      <c r="C131" s="88"/>
      <c r="D131" s="89" t="s">
        <v>58</v>
      </c>
      <c r="E131" s="89">
        <v>305</v>
      </c>
      <c r="F131" s="56">
        <f>E131*F130</f>
        <v>2.2875000000000001</v>
      </c>
      <c r="G131" s="56"/>
      <c r="H131" s="56"/>
      <c r="I131" s="56"/>
      <c r="J131" s="56"/>
      <c r="K131" s="56"/>
      <c r="L131" s="56"/>
      <c r="M131" s="56"/>
      <c r="N131" s="56" t="s">
        <v>264</v>
      </c>
    </row>
    <row r="132" spans="1:14" s="90" customFormat="1" x14ac:dyDescent="0.25">
      <c r="A132" s="91"/>
      <c r="B132" s="74" t="s">
        <v>44</v>
      </c>
      <c r="C132" s="88"/>
      <c r="D132" s="56" t="s">
        <v>45</v>
      </c>
      <c r="E132" s="89">
        <v>162</v>
      </c>
      <c r="F132" s="56">
        <f>E132*F130</f>
        <v>1.2149999999999999</v>
      </c>
      <c r="G132" s="56"/>
      <c r="H132" s="56"/>
      <c r="I132" s="56"/>
      <c r="J132" s="56"/>
      <c r="K132" s="56"/>
      <c r="L132" s="56"/>
      <c r="M132" s="56"/>
      <c r="N132" s="56" t="s">
        <v>264</v>
      </c>
    </row>
    <row r="133" spans="1:14" s="94" customFormat="1" x14ac:dyDescent="0.25">
      <c r="A133" s="93"/>
      <c r="B133" s="88" t="s">
        <v>40</v>
      </c>
      <c r="C133" s="88"/>
      <c r="D133" s="89"/>
      <c r="E133" s="89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1:14" s="62" customFormat="1" ht="30" x14ac:dyDescent="0.25">
      <c r="A134" s="55"/>
      <c r="B134" s="49" t="s">
        <v>221</v>
      </c>
      <c r="C134" s="50" t="s">
        <v>47</v>
      </c>
      <c r="D134" s="58" t="s">
        <v>48</v>
      </c>
      <c r="E134" s="59" t="s">
        <v>113</v>
      </c>
      <c r="F134" s="60">
        <v>0.5</v>
      </c>
      <c r="G134" s="48"/>
      <c r="H134" s="60"/>
      <c r="I134" s="60"/>
      <c r="J134" s="60"/>
      <c r="K134" s="60"/>
      <c r="L134" s="60"/>
      <c r="M134" s="60"/>
      <c r="N134" s="48" t="s">
        <v>264</v>
      </c>
    </row>
    <row r="135" spans="1:14" s="62" customFormat="1" ht="18" x14ac:dyDescent="0.25">
      <c r="A135" s="55"/>
      <c r="B135" s="63" t="s">
        <v>49</v>
      </c>
      <c r="C135" s="57"/>
      <c r="D135" s="58" t="s">
        <v>45</v>
      </c>
      <c r="E135" s="59">
        <v>49.2</v>
      </c>
      <c r="F135" s="60">
        <f>E135*F130</f>
        <v>0.36899999999999999</v>
      </c>
      <c r="G135" s="48"/>
      <c r="H135" s="60"/>
      <c r="I135" s="60"/>
      <c r="J135" s="60"/>
      <c r="K135" s="60"/>
      <c r="L135" s="60"/>
      <c r="M135" s="60"/>
      <c r="N135" s="48" t="s">
        <v>264</v>
      </c>
    </row>
    <row r="136" spans="1:14" s="27" customFormat="1" ht="30" x14ac:dyDescent="0.3">
      <c r="A136" s="20">
        <v>22</v>
      </c>
      <c r="B136" s="21" t="s">
        <v>56</v>
      </c>
      <c r="C136" s="22" t="s">
        <v>57</v>
      </c>
      <c r="D136" s="23" t="s">
        <v>55</v>
      </c>
      <c r="E136" s="7"/>
      <c r="F136" s="72">
        <v>5.4</v>
      </c>
      <c r="G136" s="24"/>
      <c r="H136" s="25"/>
      <c r="I136" s="24"/>
      <c r="J136" s="26"/>
      <c r="K136" s="24"/>
      <c r="L136" s="25"/>
      <c r="M136" s="26"/>
      <c r="N136" s="24" t="s">
        <v>264</v>
      </c>
    </row>
    <row r="137" spans="1:14" s="53" customFormat="1" ht="30" x14ac:dyDescent="0.3">
      <c r="A137" s="37"/>
      <c r="B137" s="49" t="s">
        <v>34</v>
      </c>
      <c r="C137" s="37"/>
      <c r="D137" s="37" t="s">
        <v>35</v>
      </c>
      <c r="E137" s="51">
        <v>134</v>
      </c>
      <c r="F137" s="52">
        <f>E137*F136</f>
        <v>723.6</v>
      </c>
      <c r="G137" s="52"/>
      <c r="H137" s="48"/>
      <c r="I137" s="52"/>
      <c r="J137" s="52"/>
      <c r="K137" s="52"/>
      <c r="L137" s="48"/>
      <c r="M137" s="52"/>
      <c r="N137" s="52" t="s">
        <v>264</v>
      </c>
    </row>
    <row r="138" spans="1:14" s="53" customFormat="1" x14ac:dyDescent="0.3">
      <c r="A138" s="37"/>
      <c r="B138" s="64" t="s">
        <v>44</v>
      </c>
      <c r="C138" s="50"/>
      <c r="D138" s="37" t="s">
        <v>45</v>
      </c>
      <c r="E138" s="51">
        <v>129</v>
      </c>
      <c r="F138" s="52">
        <f>E138*F136</f>
        <v>696.6</v>
      </c>
      <c r="G138" s="52"/>
      <c r="H138" s="52"/>
      <c r="I138" s="52"/>
      <c r="J138" s="52"/>
      <c r="K138" s="52"/>
      <c r="L138" s="48"/>
      <c r="M138" s="52"/>
      <c r="N138" s="52" t="s">
        <v>264</v>
      </c>
    </row>
    <row r="139" spans="1:14" s="70" customFormat="1" ht="18" x14ac:dyDescent="0.25">
      <c r="A139" s="65"/>
      <c r="B139" s="66" t="s">
        <v>40</v>
      </c>
      <c r="C139" s="50"/>
      <c r="D139" s="67"/>
      <c r="E139" s="68"/>
      <c r="F139" s="48"/>
      <c r="G139" s="48"/>
      <c r="H139" s="48"/>
      <c r="I139" s="48"/>
      <c r="J139" s="48"/>
      <c r="K139" s="48"/>
      <c r="L139" s="48"/>
      <c r="M139" s="48"/>
      <c r="N139" s="48"/>
    </row>
    <row r="140" spans="1:14" s="1" customFormat="1" ht="30" x14ac:dyDescent="0.25">
      <c r="A140" s="2"/>
      <c r="B140" s="124" t="s">
        <v>222</v>
      </c>
      <c r="C140" s="5"/>
      <c r="D140" s="4" t="s">
        <v>21</v>
      </c>
      <c r="E140" s="4"/>
      <c r="F140" s="52">
        <v>2</v>
      </c>
      <c r="G140" s="60"/>
      <c r="H140" s="48"/>
      <c r="I140" s="48"/>
      <c r="J140" s="48"/>
      <c r="K140" s="48"/>
      <c r="L140" s="48"/>
      <c r="M140" s="48"/>
      <c r="N140" s="60" t="s">
        <v>265</v>
      </c>
    </row>
    <row r="141" spans="1:14" s="1" customFormat="1" ht="30" x14ac:dyDescent="0.25">
      <c r="A141" s="2"/>
      <c r="B141" s="124" t="s">
        <v>223</v>
      </c>
      <c r="C141" s="5"/>
      <c r="D141" s="4" t="s">
        <v>21</v>
      </c>
      <c r="E141" s="4"/>
      <c r="F141" s="52">
        <v>2</v>
      </c>
      <c r="G141" s="60"/>
      <c r="H141" s="48"/>
      <c r="I141" s="48"/>
      <c r="J141" s="48"/>
      <c r="K141" s="48"/>
      <c r="L141" s="48"/>
      <c r="M141" s="48"/>
      <c r="N141" s="60" t="s">
        <v>265</v>
      </c>
    </row>
    <row r="142" spans="1:14" s="70" customFormat="1" ht="18" x14ac:dyDescent="0.25">
      <c r="A142" s="65"/>
      <c r="B142" s="71" t="s">
        <v>49</v>
      </c>
      <c r="C142" s="50"/>
      <c r="D142" s="67" t="s">
        <v>45</v>
      </c>
      <c r="E142" s="68">
        <v>45.2</v>
      </c>
      <c r="F142" s="48">
        <f>E142*F136</f>
        <v>244.08000000000004</v>
      </c>
      <c r="G142" s="48"/>
      <c r="H142" s="48"/>
      <c r="I142" s="48"/>
      <c r="J142" s="48"/>
      <c r="K142" s="48"/>
      <c r="L142" s="48"/>
      <c r="M142" s="48"/>
      <c r="N142" s="48" t="s">
        <v>264</v>
      </c>
    </row>
    <row r="143" spans="1:14" s="27" customFormat="1" ht="30" x14ac:dyDescent="0.3">
      <c r="A143" s="20">
        <v>23</v>
      </c>
      <c r="B143" s="21" t="s">
        <v>233</v>
      </c>
      <c r="C143" s="22" t="s">
        <v>224</v>
      </c>
      <c r="D143" s="23" t="s">
        <v>21</v>
      </c>
      <c r="E143" s="7"/>
      <c r="F143" s="72">
        <v>2</v>
      </c>
      <c r="G143" s="24"/>
      <c r="H143" s="25"/>
      <c r="I143" s="24"/>
      <c r="J143" s="26"/>
      <c r="K143" s="24"/>
      <c r="L143" s="25"/>
      <c r="M143" s="26"/>
      <c r="N143" s="24" t="s">
        <v>264</v>
      </c>
    </row>
    <row r="144" spans="1:14" s="53" customFormat="1" ht="30" x14ac:dyDescent="0.3">
      <c r="A144" s="37"/>
      <c r="B144" s="49" t="s">
        <v>34</v>
      </c>
      <c r="C144" s="37"/>
      <c r="D144" s="37" t="s">
        <v>58</v>
      </c>
      <c r="E144" s="51">
        <v>1.96</v>
      </c>
      <c r="F144" s="52">
        <f>E144*F143</f>
        <v>3.92</v>
      </c>
      <c r="G144" s="52"/>
      <c r="H144" s="48"/>
      <c r="I144" s="52"/>
      <c r="J144" s="52"/>
      <c r="K144" s="52"/>
      <c r="L144" s="48"/>
      <c r="M144" s="52"/>
      <c r="N144" s="52" t="s">
        <v>264</v>
      </c>
    </row>
    <row r="145" spans="1:14" s="53" customFormat="1" x14ac:dyDescent="0.3">
      <c r="A145" s="37"/>
      <c r="B145" s="74" t="s">
        <v>44</v>
      </c>
      <c r="C145" s="50"/>
      <c r="D145" s="37" t="s">
        <v>45</v>
      </c>
      <c r="E145" s="51">
        <v>1.33</v>
      </c>
      <c r="F145" s="52">
        <f>E145*F143</f>
        <v>2.66</v>
      </c>
      <c r="G145" s="52"/>
      <c r="H145" s="52"/>
      <c r="I145" s="52"/>
      <c r="J145" s="52"/>
      <c r="K145" s="52"/>
      <c r="L145" s="48"/>
      <c r="M145" s="52"/>
      <c r="N145" s="52" t="s">
        <v>264</v>
      </c>
    </row>
    <row r="146" spans="1:14" s="62" customFormat="1" ht="18" x14ac:dyDescent="0.25">
      <c r="A146" s="55"/>
      <c r="B146" s="56" t="s">
        <v>40</v>
      </c>
      <c r="C146" s="57"/>
      <c r="D146" s="58"/>
      <c r="E146" s="59"/>
      <c r="F146" s="60"/>
      <c r="G146" s="60"/>
      <c r="H146" s="60"/>
      <c r="I146" s="60"/>
      <c r="J146" s="60"/>
      <c r="K146" s="60"/>
      <c r="L146" s="60"/>
      <c r="M146" s="60"/>
      <c r="N146" s="60"/>
    </row>
    <row r="147" spans="1:14" s="62" customFormat="1" ht="18" x14ac:dyDescent="0.25">
      <c r="A147" s="55"/>
      <c r="B147" s="122" t="s">
        <v>225</v>
      </c>
      <c r="C147" s="57" t="s">
        <v>226</v>
      </c>
      <c r="D147" s="58" t="s">
        <v>21</v>
      </c>
      <c r="E147" s="59">
        <v>1</v>
      </c>
      <c r="F147" s="60">
        <f>E147*F143</f>
        <v>2</v>
      </c>
      <c r="G147" s="48"/>
      <c r="H147" s="60"/>
      <c r="I147" s="60"/>
      <c r="J147" s="60"/>
      <c r="K147" s="60"/>
      <c r="L147" s="60"/>
      <c r="M147" s="60"/>
      <c r="N147" s="48" t="s">
        <v>265</v>
      </c>
    </row>
    <row r="148" spans="1:14" s="62" customFormat="1" ht="18" x14ac:dyDescent="0.25">
      <c r="A148" s="55"/>
      <c r="B148" s="63" t="s">
        <v>49</v>
      </c>
      <c r="C148" s="57"/>
      <c r="D148" s="58" t="s">
        <v>45</v>
      </c>
      <c r="E148" s="59">
        <v>0.37</v>
      </c>
      <c r="F148" s="60">
        <f>E148*F143</f>
        <v>0.74</v>
      </c>
      <c r="G148" s="48"/>
      <c r="H148" s="60"/>
      <c r="I148" s="60"/>
      <c r="J148" s="60"/>
      <c r="K148" s="60"/>
      <c r="L148" s="60"/>
      <c r="M148" s="60"/>
      <c r="N148" s="48" t="s">
        <v>264</v>
      </c>
    </row>
    <row r="149" spans="1:14" s="27" customFormat="1" ht="45" x14ac:dyDescent="0.3">
      <c r="A149" s="20">
        <v>24</v>
      </c>
      <c r="B149" s="21" t="s">
        <v>232</v>
      </c>
      <c r="C149" s="22" t="s">
        <v>227</v>
      </c>
      <c r="D149" s="23" t="s">
        <v>21</v>
      </c>
      <c r="E149" s="7"/>
      <c r="F149" s="72">
        <v>1</v>
      </c>
      <c r="G149" s="24"/>
      <c r="H149" s="25"/>
      <c r="I149" s="24"/>
      <c r="J149" s="26"/>
      <c r="K149" s="24"/>
      <c r="L149" s="25"/>
      <c r="M149" s="26"/>
      <c r="N149" s="24" t="s">
        <v>264</v>
      </c>
    </row>
    <row r="150" spans="1:14" s="53" customFormat="1" ht="30" x14ac:dyDescent="0.3">
      <c r="A150" s="37"/>
      <c r="B150" s="49" t="s">
        <v>34</v>
      </c>
      <c r="C150" s="37"/>
      <c r="D150" s="37" t="s">
        <v>58</v>
      </c>
      <c r="E150" s="51">
        <v>8.3000000000000007</v>
      </c>
      <c r="F150" s="52">
        <f>E150*F149</f>
        <v>8.3000000000000007</v>
      </c>
      <c r="G150" s="52"/>
      <c r="H150" s="48"/>
      <c r="I150" s="52"/>
      <c r="J150" s="52"/>
      <c r="K150" s="52"/>
      <c r="L150" s="48"/>
      <c r="M150" s="52"/>
      <c r="N150" s="52" t="s">
        <v>264</v>
      </c>
    </row>
    <row r="151" spans="1:14" s="53" customFormat="1" x14ac:dyDescent="0.3">
      <c r="A151" s="37"/>
      <c r="B151" s="74" t="s">
        <v>44</v>
      </c>
      <c r="C151" s="50"/>
      <c r="D151" s="37" t="s">
        <v>45</v>
      </c>
      <c r="E151" s="51">
        <v>3.27</v>
      </c>
      <c r="F151" s="52">
        <f>E151*F149</f>
        <v>3.27</v>
      </c>
      <c r="G151" s="52"/>
      <c r="H151" s="52"/>
      <c r="I151" s="52"/>
      <c r="J151" s="52"/>
      <c r="K151" s="52"/>
      <c r="L151" s="48"/>
      <c r="M151" s="52"/>
      <c r="N151" s="52" t="s">
        <v>264</v>
      </c>
    </row>
    <row r="152" spans="1:14" s="62" customFormat="1" ht="18" x14ac:dyDescent="0.25">
      <c r="A152" s="55"/>
      <c r="B152" s="56" t="s">
        <v>40</v>
      </c>
      <c r="C152" s="57"/>
      <c r="D152" s="58"/>
      <c r="E152" s="59"/>
      <c r="F152" s="60"/>
      <c r="G152" s="60"/>
      <c r="H152" s="60"/>
      <c r="I152" s="60"/>
      <c r="J152" s="60"/>
      <c r="K152" s="60"/>
      <c r="L152" s="60"/>
      <c r="M152" s="60"/>
      <c r="N152" s="60"/>
    </row>
    <row r="153" spans="1:14" s="62" customFormat="1" ht="30" x14ac:dyDescent="0.25">
      <c r="A153" s="55"/>
      <c r="B153" s="122" t="s">
        <v>228</v>
      </c>
      <c r="C153" s="57" t="s">
        <v>229</v>
      </c>
      <c r="D153" s="58" t="s">
        <v>21</v>
      </c>
      <c r="E153" s="59">
        <v>1</v>
      </c>
      <c r="F153" s="60">
        <f>E153*F149</f>
        <v>1</v>
      </c>
      <c r="G153" s="60"/>
      <c r="H153" s="60"/>
      <c r="I153" s="60"/>
      <c r="J153" s="60"/>
      <c r="K153" s="60"/>
      <c r="L153" s="60"/>
      <c r="M153" s="60"/>
      <c r="N153" s="60" t="s">
        <v>265</v>
      </c>
    </row>
    <row r="154" spans="1:14" s="62" customFormat="1" ht="18" x14ac:dyDescent="0.25">
      <c r="A154" s="55"/>
      <c r="B154" s="63" t="s">
        <v>49</v>
      </c>
      <c r="C154" s="57"/>
      <c r="D154" s="58" t="s">
        <v>45</v>
      </c>
      <c r="E154" s="59">
        <v>2</v>
      </c>
      <c r="F154" s="60">
        <f>E154*F149</f>
        <v>2</v>
      </c>
      <c r="G154" s="48"/>
      <c r="H154" s="60"/>
      <c r="I154" s="60"/>
      <c r="J154" s="60"/>
      <c r="K154" s="60"/>
      <c r="L154" s="60"/>
      <c r="M154" s="60"/>
      <c r="N154" s="48" t="s">
        <v>264</v>
      </c>
    </row>
    <row r="155" spans="1:14" ht="30" x14ac:dyDescent="0.25">
      <c r="A155" s="20">
        <v>25</v>
      </c>
      <c r="B155" s="21" t="s">
        <v>231</v>
      </c>
      <c r="C155" s="22" t="s">
        <v>227</v>
      </c>
      <c r="D155" s="23" t="s">
        <v>21</v>
      </c>
      <c r="E155" s="7"/>
      <c r="F155" s="72">
        <v>1</v>
      </c>
      <c r="G155" s="24"/>
      <c r="H155" s="25"/>
      <c r="I155" s="24"/>
      <c r="J155" s="26"/>
      <c r="K155" s="24"/>
      <c r="L155" s="25"/>
      <c r="M155" s="26"/>
      <c r="N155" s="24" t="s">
        <v>264</v>
      </c>
    </row>
    <row r="156" spans="1:14" s="53" customFormat="1" ht="30" x14ac:dyDescent="0.3">
      <c r="A156" s="37"/>
      <c r="B156" s="49" t="s">
        <v>34</v>
      </c>
      <c r="C156" s="37"/>
      <c r="D156" s="37" t="s">
        <v>58</v>
      </c>
      <c r="E156" s="51">
        <v>8.3000000000000007</v>
      </c>
      <c r="F156" s="52">
        <f>E156*F155</f>
        <v>8.3000000000000007</v>
      </c>
      <c r="G156" s="52"/>
      <c r="H156" s="48"/>
      <c r="I156" s="52"/>
      <c r="J156" s="52"/>
      <c r="K156" s="52"/>
      <c r="L156" s="48"/>
      <c r="M156" s="52"/>
      <c r="N156" s="52" t="s">
        <v>264</v>
      </c>
    </row>
    <row r="157" spans="1:14" s="53" customFormat="1" x14ac:dyDescent="0.3">
      <c r="A157" s="37"/>
      <c r="B157" s="64" t="s">
        <v>44</v>
      </c>
      <c r="C157" s="50"/>
      <c r="D157" s="37" t="s">
        <v>45</v>
      </c>
      <c r="E157" s="51">
        <v>3.27</v>
      </c>
      <c r="F157" s="52">
        <f>E157*F155</f>
        <v>3.27</v>
      </c>
      <c r="G157" s="52"/>
      <c r="H157" s="52"/>
      <c r="I157" s="52"/>
      <c r="J157" s="52"/>
      <c r="K157" s="52"/>
      <c r="L157" s="48"/>
      <c r="M157" s="52"/>
      <c r="N157" s="52" t="s">
        <v>264</v>
      </c>
    </row>
    <row r="158" spans="1:14" s="70" customFormat="1" ht="18" x14ac:dyDescent="0.25">
      <c r="A158" s="65"/>
      <c r="B158" s="66" t="s">
        <v>40</v>
      </c>
      <c r="C158" s="50"/>
      <c r="D158" s="67"/>
      <c r="E158" s="59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s="70" customFormat="1" ht="30" x14ac:dyDescent="0.25">
      <c r="A159" s="65"/>
      <c r="B159" s="122" t="s">
        <v>230</v>
      </c>
      <c r="C159" s="50"/>
      <c r="D159" s="67" t="s">
        <v>21</v>
      </c>
      <c r="E159" s="59">
        <v>1</v>
      </c>
      <c r="F159" s="48">
        <f>E159*F155</f>
        <v>1</v>
      </c>
      <c r="G159" s="48"/>
      <c r="H159" s="48"/>
      <c r="I159" s="48"/>
      <c r="J159" s="48"/>
      <c r="K159" s="48"/>
      <c r="L159" s="48"/>
      <c r="M159" s="48"/>
      <c r="N159" s="48" t="s">
        <v>265</v>
      </c>
    </row>
    <row r="160" spans="1:14" s="70" customFormat="1" ht="18" x14ac:dyDescent="0.25">
      <c r="A160" s="65"/>
      <c r="B160" s="71" t="s">
        <v>49</v>
      </c>
      <c r="C160" s="50"/>
      <c r="D160" s="67" t="s">
        <v>45</v>
      </c>
      <c r="E160" s="59">
        <v>2</v>
      </c>
      <c r="F160" s="48">
        <f>E160*F155</f>
        <v>2</v>
      </c>
      <c r="G160" s="48"/>
      <c r="H160" s="48"/>
      <c r="I160" s="48"/>
      <c r="J160" s="48"/>
      <c r="K160" s="48"/>
      <c r="L160" s="48"/>
      <c r="M160" s="48"/>
      <c r="N160" s="48" t="s">
        <v>264</v>
      </c>
    </row>
    <row r="161" spans="1:106" s="106" customFormat="1" ht="30" x14ac:dyDescent="0.3">
      <c r="A161" s="20">
        <v>26</v>
      </c>
      <c r="B161" s="21" t="s">
        <v>234</v>
      </c>
      <c r="C161" s="22" t="s">
        <v>126</v>
      </c>
      <c r="D161" s="23" t="s">
        <v>112</v>
      </c>
      <c r="E161" s="7"/>
      <c r="F161" s="72">
        <f>24/1000</f>
        <v>2.4E-2</v>
      </c>
      <c r="G161" s="24"/>
      <c r="H161" s="25"/>
      <c r="I161" s="24"/>
      <c r="J161" s="26"/>
      <c r="K161" s="24"/>
      <c r="L161" s="25"/>
      <c r="M161" s="26"/>
      <c r="N161" s="24" t="s">
        <v>264</v>
      </c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</row>
    <row r="162" spans="1:106" s="90" customFormat="1" ht="30" x14ac:dyDescent="0.25">
      <c r="A162" s="88"/>
      <c r="B162" s="74" t="s">
        <v>127</v>
      </c>
      <c r="C162" s="88"/>
      <c r="D162" s="89" t="s">
        <v>137</v>
      </c>
      <c r="E162" s="89">
        <v>53.8</v>
      </c>
      <c r="F162" s="56">
        <f>E162*F161</f>
        <v>1.2911999999999999</v>
      </c>
      <c r="G162" s="56"/>
      <c r="H162" s="56"/>
      <c r="I162" s="56"/>
      <c r="J162" s="56"/>
      <c r="K162" s="56"/>
      <c r="L162" s="56"/>
      <c r="M162" s="56"/>
      <c r="N162" s="56" t="s">
        <v>264</v>
      </c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</row>
    <row r="163" spans="1:106" s="108" customFormat="1" ht="30" x14ac:dyDescent="0.3">
      <c r="A163" s="75"/>
      <c r="B163" s="76" t="s">
        <v>128</v>
      </c>
      <c r="C163" s="80" t="s">
        <v>129</v>
      </c>
      <c r="D163" s="75" t="s">
        <v>31</v>
      </c>
      <c r="E163" s="77">
        <v>0.35</v>
      </c>
      <c r="F163" s="78">
        <f>E163*F161</f>
        <v>8.3999999999999995E-3</v>
      </c>
      <c r="G163" s="78"/>
      <c r="H163" s="78"/>
      <c r="I163" s="78"/>
      <c r="J163" s="78"/>
      <c r="K163" s="78"/>
      <c r="L163" s="79"/>
      <c r="M163" s="78"/>
      <c r="N163" s="78" t="s">
        <v>264</v>
      </c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</row>
    <row r="164" spans="1:106" s="90" customFormat="1" x14ac:dyDescent="0.25">
      <c r="A164" s="91"/>
      <c r="B164" s="74" t="s">
        <v>44</v>
      </c>
      <c r="C164" s="88"/>
      <c r="D164" s="56" t="s">
        <v>45</v>
      </c>
      <c r="E164" s="89">
        <v>18.399999999999999</v>
      </c>
      <c r="F164" s="56">
        <f>E164*F161</f>
        <v>0.44159999999999999</v>
      </c>
      <c r="G164" s="56"/>
      <c r="H164" s="56"/>
      <c r="I164" s="56"/>
      <c r="J164" s="56"/>
      <c r="K164" s="56"/>
      <c r="L164" s="56"/>
      <c r="M164" s="56"/>
      <c r="N164" s="56" t="s">
        <v>264</v>
      </c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</row>
    <row r="165" spans="1:106" s="90" customFormat="1" ht="18" x14ac:dyDescent="0.25">
      <c r="A165" s="81"/>
      <c r="B165" s="56" t="s">
        <v>40</v>
      </c>
      <c r="C165" s="57"/>
      <c r="D165" s="82"/>
      <c r="E165" s="59"/>
      <c r="F165" s="60"/>
      <c r="G165" s="60"/>
      <c r="H165" s="60"/>
      <c r="I165" s="60"/>
      <c r="J165" s="60"/>
      <c r="K165" s="60"/>
      <c r="L165" s="60"/>
      <c r="M165" s="60"/>
      <c r="N165" s="60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</row>
    <row r="166" spans="1:106" s="90" customFormat="1" ht="18" x14ac:dyDescent="0.25">
      <c r="A166" s="81"/>
      <c r="B166" s="76" t="s">
        <v>235</v>
      </c>
      <c r="C166" s="57" t="s">
        <v>130</v>
      </c>
      <c r="D166" s="82" t="s">
        <v>112</v>
      </c>
      <c r="E166" s="59">
        <v>1</v>
      </c>
      <c r="F166" s="60">
        <f>E166*F161</f>
        <v>2.4E-2</v>
      </c>
      <c r="G166" s="79"/>
      <c r="H166" s="60"/>
      <c r="I166" s="60"/>
      <c r="J166" s="60"/>
      <c r="K166" s="60"/>
      <c r="L166" s="60"/>
      <c r="M166" s="60"/>
      <c r="N166" s="79" t="s">
        <v>264</v>
      </c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</row>
    <row r="167" spans="1:106" s="90" customFormat="1" ht="18" x14ac:dyDescent="0.25">
      <c r="A167" s="81"/>
      <c r="B167" s="76" t="s">
        <v>131</v>
      </c>
      <c r="C167" s="57" t="s">
        <v>132</v>
      </c>
      <c r="D167" s="82" t="s">
        <v>167</v>
      </c>
      <c r="E167" s="59">
        <v>24.4</v>
      </c>
      <c r="F167" s="60">
        <f>E167*F161</f>
        <v>0.58560000000000001</v>
      </c>
      <c r="G167" s="79"/>
      <c r="H167" s="60"/>
      <c r="I167" s="60"/>
      <c r="J167" s="60"/>
      <c r="K167" s="60"/>
      <c r="L167" s="60"/>
      <c r="M167" s="60"/>
      <c r="N167" s="79" t="s">
        <v>264</v>
      </c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</row>
    <row r="168" spans="1:106" s="90" customFormat="1" ht="18" x14ac:dyDescent="0.25">
      <c r="A168" s="81"/>
      <c r="B168" s="110" t="s">
        <v>49</v>
      </c>
      <c r="C168" s="57"/>
      <c r="D168" s="82" t="s">
        <v>45</v>
      </c>
      <c r="E168" s="59">
        <v>2.78</v>
      </c>
      <c r="F168" s="60">
        <f>E168*F161</f>
        <v>6.6720000000000002E-2</v>
      </c>
      <c r="G168" s="79"/>
      <c r="H168" s="60"/>
      <c r="I168" s="60"/>
      <c r="J168" s="60"/>
      <c r="K168" s="60"/>
      <c r="L168" s="60"/>
      <c r="M168" s="60"/>
      <c r="N168" s="79" t="s">
        <v>264</v>
      </c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</row>
    <row r="169" spans="1:106" s="53" customFormat="1" x14ac:dyDescent="0.3">
      <c r="A169" s="34"/>
      <c r="B169" s="49"/>
      <c r="C169" s="37"/>
      <c r="D169" s="37"/>
      <c r="E169" s="133"/>
      <c r="F169" s="51"/>
      <c r="G169" s="133"/>
      <c r="H169" s="52"/>
      <c r="I169" s="133"/>
      <c r="J169" s="52"/>
      <c r="K169" s="133"/>
      <c r="L169" s="52"/>
      <c r="M169" s="52"/>
      <c r="N169" s="134"/>
    </row>
    <row r="170" spans="1:106" s="39" customFormat="1" x14ac:dyDescent="0.25">
      <c r="A170" s="28"/>
      <c r="B170" s="29" t="s">
        <v>9</v>
      </c>
      <c r="C170" s="30"/>
      <c r="D170" s="28"/>
      <c r="E170" s="28"/>
      <c r="F170" s="28"/>
      <c r="G170" s="28"/>
      <c r="H170" s="32">
        <f>SUM(H7:H169)</f>
        <v>0</v>
      </c>
      <c r="I170" s="32"/>
      <c r="J170" s="32">
        <f>SUM(J7:J169)</f>
        <v>0</v>
      </c>
      <c r="K170" s="32"/>
      <c r="L170" s="32">
        <f>SUM(L7:L169)</f>
        <v>0</v>
      </c>
      <c r="M170" s="32">
        <f>SUM(M7:M169)</f>
        <v>0</v>
      </c>
      <c r="N170" s="128"/>
    </row>
    <row r="171" spans="1:106" s="39" customFormat="1" x14ac:dyDescent="0.25">
      <c r="A171" s="33"/>
      <c r="B171" s="34" t="s">
        <v>22</v>
      </c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8">
        <f>M170*C171</f>
        <v>0</v>
      </c>
      <c r="N171" s="129"/>
    </row>
    <row r="172" spans="1:106" s="135" customFormat="1" x14ac:dyDescent="0.25">
      <c r="A172" s="40"/>
      <c r="B172" s="29" t="s">
        <v>9</v>
      </c>
      <c r="C172" s="41"/>
      <c r="D172" s="29"/>
      <c r="E172" s="29"/>
      <c r="F172" s="97"/>
      <c r="G172" s="29"/>
      <c r="H172" s="43"/>
      <c r="I172" s="43"/>
      <c r="J172" s="43"/>
      <c r="K172" s="43"/>
      <c r="L172" s="44"/>
      <c r="M172" s="45">
        <f>SUM(M170:M171)</f>
        <v>0</v>
      </c>
      <c r="N172" s="130"/>
    </row>
    <row r="173" spans="1:106" s="39" customFormat="1" x14ac:dyDescent="0.25">
      <c r="A173" s="33"/>
      <c r="B173" s="34" t="s">
        <v>23</v>
      </c>
      <c r="C173" s="35"/>
      <c r="D173" s="37"/>
      <c r="E173" s="37"/>
      <c r="F173" s="67"/>
      <c r="G173" s="37"/>
      <c r="H173" s="47"/>
      <c r="I173" s="47"/>
      <c r="J173" s="47"/>
      <c r="K173" s="47"/>
      <c r="L173" s="48"/>
      <c r="M173" s="38">
        <f>M172*C173</f>
        <v>0</v>
      </c>
      <c r="N173" s="129"/>
    </row>
    <row r="174" spans="1:106" s="135" customFormat="1" x14ac:dyDescent="0.25">
      <c r="A174" s="40"/>
      <c r="B174" s="29" t="s">
        <v>9</v>
      </c>
      <c r="C174" s="41"/>
      <c r="D174" s="29"/>
      <c r="E174" s="29"/>
      <c r="F174" s="97"/>
      <c r="G174" s="29"/>
      <c r="H174" s="44"/>
      <c r="I174" s="43"/>
      <c r="J174" s="44"/>
      <c r="K174" s="43"/>
      <c r="L174" s="44"/>
      <c r="M174" s="45">
        <f>M173+M172</f>
        <v>0</v>
      </c>
      <c r="N174" s="130"/>
    </row>
    <row r="175" spans="1:106" s="1" customFormat="1" x14ac:dyDescent="0.25"/>
    <row r="176" spans="1:106" s="1" customFormat="1" x14ac:dyDescent="0.25"/>
    <row r="180" spans="13:13" x14ac:dyDescent="0.25">
      <c r="M180" s="141"/>
    </row>
    <row r="181" spans="13:13" x14ac:dyDescent="0.25">
      <c r="M181" s="141"/>
    </row>
  </sheetData>
  <mergeCells count="13">
    <mergeCell ref="N4:N5"/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45" right="0.25" top="0.45" bottom="0.45" header="0.3" footer="0.3"/>
  <pageSetup scale="64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D120"/>
  <sheetViews>
    <sheetView topLeftCell="A94" zoomScale="80" zoomScaleNormal="80" zoomScaleSheetLayoutView="100" workbookViewId="0">
      <selection activeCell="B123" sqref="B123"/>
    </sheetView>
  </sheetViews>
  <sheetFormatPr defaultRowHeight="15" x14ac:dyDescent="0.25"/>
  <cols>
    <col min="1" max="1" width="4" style="98" bestFit="1" customWidth="1"/>
    <col min="2" max="2" width="45.7109375" style="99" customWidth="1"/>
    <col min="3" max="3" width="13.7109375" style="99" customWidth="1"/>
    <col min="4" max="5" width="13.85546875" style="100" customWidth="1"/>
    <col min="6" max="6" width="10.85546875" style="100" customWidth="1"/>
    <col min="7" max="7" width="9.28515625" bestFit="1" customWidth="1"/>
    <col min="8" max="8" width="12.85546875" bestFit="1" customWidth="1"/>
    <col min="9" max="9" width="9.28515625" bestFit="1" customWidth="1"/>
    <col min="10" max="10" width="11.7109375" bestFit="1" customWidth="1"/>
    <col min="11" max="11" width="9.28515625" bestFit="1" customWidth="1"/>
    <col min="12" max="12" width="11.7109375" bestFit="1" customWidth="1"/>
    <col min="13" max="13" width="12.85546875" bestFit="1" customWidth="1"/>
    <col min="14" max="14" width="26.7109375" customWidth="1"/>
  </cols>
  <sheetData>
    <row r="1" spans="1:16" s="8" customFormat="1" ht="18" customHeight="1" x14ac:dyDescent="0.2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6" s="8" customFormat="1" x14ac:dyDescent="0.25">
      <c r="A2" s="144" t="s">
        <v>195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6" ht="38.25" customHeight="1" x14ac:dyDescent="0.25">
      <c r="A3" s="143" t="s">
        <v>196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6" s="9" customFormat="1" ht="60.75" customHeight="1" x14ac:dyDescent="0.25">
      <c r="A4" s="161" t="s">
        <v>8</v>
      </c>
      <c r="B4" s="161" t="s">
        <v>10</v>
      </c>
      <c r="C4" s="162" t="s">
        <v>11</v>
      </c>
      <c r="D4" s="161" t="s">
        <v>12</v>
      </c>
      <c r="E4" s="157" t="s">
        <v>13</v>
      </c>
      <c r="F4" s="157"/>
      <c r="G4" s="163" t="s">
        <v>14</v>
      </c>
      <c r="H4" s="163"/>
      <c r="I4" s="157" t="s">
        <v>15</v>
      </c>
      <c r="J4" s="157"/>
      <c r="K4" s="157" t="s">
        <v>16</v>
      </c>
      <c r="L4" s="157"/>
      <c r="M4" s="157" t="s">
        <v>17</v>
      </c>
      <c r="N4" s="142" t="s">
        <v>266</v>
      </c>
    </row>
    <row r="5" spans="1:16" s="9" customFormat="1" ht="60" x14ac:dyDescent="0.25">
      <c r="A5" s="161"/>
      <c r="B5" s="161"/>
      <c r="C5" s="162"/>
      <c r="D5" s="161"/>
      <c r="E5" s="10" t="s">
        <v>18</v>
      </c>
      <c r="F5" s="10" t="s">
        <v>19</v>
      </c>
      <c r="G5" s="10" t="s">
        <v>20</v>
      </c>
      <c r="H5" s="10" t="s">
        <v>19</v>
      </c>
      <c r="I5" s="10" t="s">
        <v>20</v>
      </c>
      <c r="J5" s="10" t="s">
        <v>19</v>
      </c>
      <c r="K5" s="10" t="s">
        <v>20</v>
      </c>
      <c r="L5" s="10" t="s">
        <v>19</v>
      </c>
      <c r="M5" s="157"/>
      <c r="N5" s="142"/>
    </row>
    <row r="6" spans="1:16" s="9" customFormat="1" x14ac:dyDescent="0.25">
      <c r="A6" s="11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1">
        <v>14</v>
      </c>
    </row>
    <row r="7" spans="1:16" s="19" customFormat="1" x14ac:dyDescent="0.25">
      <c r="A7" s="14"/>
      <c r="B7" s="15"/>
      <c r="C7" s="14"/>
      <c r="D7" s="14"/>
      <c r="E7" s="14"/>
      <c r="F7" s="14"/>
      <c r="G7" s="17"/>
      <c r="H7" s="18"/>
      <c r="I7" s="17"/>
      <c r="J7" s="18"/>
      <c r="K7" s="17"/>
      <c r="L7" s="18"/>
      <c r="M7" s="17"/>
      <c r="N7" s="127"/>
    </row>
    <row r="8" spans="1:16" s="27" customFormat="1" ht="60" x14ac:dyDescent="0.3">
      <c r="A8" s="20">
        <v>1</v>
      </c>
      <c r="B8" s="21" t="s">
        <v>166</v>
      </c>
      <c r="C8" s="22" t="s">
        <v>38</v>
      </c>
      <c r="D8" s="23" t="s">
        <v>33</v>
      </c>
      <c r="E8" s="7"/>
      <c r="F8" s="72">
        <f>49/1000</f>
        <v>4.9000000000000002E-2</v>
      </c>
      <c r="G8" s="24"/>
      <c r="H8" s="25"/>
      <c r="I8" s="24"/>
      <c r="J8" s="26"/>
      <c r="K8" s="24"/>
      <c r="L8" s="25"/>
      <c r="M8" s="26"/>
      <c r="N8" s="24" t="s">
        <v>264</v>
      </c>
    </row>
    <row r="9" spans="1:16" s="53" customFormat="1" ht="30" x14ac:dyDescent="0.3">
      <c r="A9" s="37"/>
      <c r="B9" s="49" t="s">
        <v>34</v>
      </c>
      <c r="C9" s="37"/>
      <c r="D9" s="37" t="s">
        <v>58</v>
      </c>
      <c r="E9" s="51">
        <v>14.2</v>
      </c>
      <c r="F9" s="52">
        <f>E9*F8</f>
        <v>0.69579999999999997</v>
      </c>
      <c r="G9" s="52"/>
      <c r="H9" s="48"/>
      <c r="I9" s="52"/>
      <c r="J9" s="52"/>
      <c r="K9" s="52"/>
      <c r="L9" s="48"/>
      <c r="M9" s="52"/>
      <c r="N9" s="52" t="s">
        <v>264</v>
      </c>
    </row>
    <row r="10" spans="1:16" s="53" customFormat="1" ht="30" x14ac:dyDescent="0.3">
      <c r="A10" s="37"/>
      <c r="B10" s="49" t="s">
        <v>36</v>
      </c>
      <c r="C10" s="50" t="s">
        <v>37</v>
      </c>
      <c r="D10" s="37" t="s">
        <v>31</v>
      </c>
      <c r="E10" s="51">
        <v>30.8</v>
      </c>
      <c r="F10" s="52">
        <f>E10*F8</f>
        <v>1.5092000000000001</v>
      </c>
      <c r="G10" s="52"/>
      <c r="H10" s="52"/>
      <c r="I10" s="52"/>
      <c r="J10" s="52"/>
      <c r="K10" s="52"/>
      <c r="L10" s="48"/>
      <c r="M10" s="52"/>
      <c r="N10" s="52" t="s">
        <v>264</v>
      </c>
    </row>
    <row r="11" spans="1:16" s="27" customFormat="1" ht="60" x14ac:dyDescent="0.3">
      <c r="A11" s="87" t="s">
        <v>102</v>
      </c>
      <c r="B11" s="21" t="s">
        <v>103</v>
      </c>
      <c r="C11" s="22" t="s">
        <v>104</v>
      </c>
      <c r="D11" s="23" t="s">
        <v>101</v>
      </c>
      <c r="E11" s="7"/>
      <c r="F11" s="72">
        <f>0.3/100</f>
        <v>3.0000000000000001E-3</v>
      </c>
      <c r="G11" s="24"/>
      <c r="H11" s="25"/>
      <c r="I11" s="24"/>
      <c r="J11" s="26"/>
      <c r="K11" s="24"/>
      <c r="L11" s="25"/>
      <c r="M11" s="26"/>
      <c r="N11" s="24" t="s">
        <v>264</v>
      </c>
    </row>
    <row r="12" spans="1:16" s="53" customFormat="1" ht="30" x14ac:dyDescent="0.3">
      <c r="A12" s="37"/>
      <c r="B12" s="49" t="s">
        <v>34</v>
      </c>
      <c r="C12" s="37"/>
      <c r="D12" s="37" t="s">
        <v>58</v>
      </c>
      <c r="E12" s="51">
        <v>137</v>
      </c>
      <c r="F12" s="52">
        <f>E12*F11</f>
        <v>0.41100000000000003</v>
      </c>
      <c r="G12" s="52"/>
      <c r="H12" s="48"/>
      <c r="I12" s="52"/>
      <c r="J12" s="52"/>
      <c r="K12" s="52"/>
      <c r="L12" s="48"/>
      <c r="M12" s="52"/>
      <c r="N12" s="52" t="s">
        <v>264</v>
      </c>
    </row>
    <row r="13" spans="1:16" s="53" customFormat="1" x14ac:dyDescent="0.3">
      <c r="A13" s="37"/>
      <c r="B13" s="74" t="s">
        <v>44</v>
      </c>
      <c r="C13" s="50"/>
      <c r="D13" s="37" t="s">
        <v>45</v>
      </c>
      <c r="E13" s="51">
        <v>28.3</v>
      </c>
      <c r="F13" s="52">
        <f>E13*F11</f>
        <v>8.4900000000000003E-2</v>
      </c>
      <c r="G13" s="52"/>
      <c r="H13" s="52"/>
      <c r="I13" s="52"/>
      <c r="J13" s="52"/>
      <c r="K13" s="52"/>
      <c r="L13" s="48"/>
      <c r="M13" s="52"/>
      <c r="N13" s="52" t="s">
        <v>264</v>
      </c>
    </row>
    <row r="14" spans="1:16" s="62" customFormat="1" ht="18" x14ac:dyDescent="0.25">
      <c r="A14" s="55"/>
      <c r="B14" s="56" t="s">
        <v>40</v>
      </c>
      <c r="C14" s="57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1"/>
    </row>
    <row r="15" spans="1:16" s="70" customFormat="1" ht="18" x14ac:dyDescent="0.25">
      <c r="A15" s="65"/>
      <c r="B15" s="71" t="s">
        <v>105</v>
      </c>
      <c r="C15" s="50" t="s">
        <v>106</v>
      </c>
      <c r="D15" s="67" t="s">
        <v>41</v>
      </c>
      <c r="E15" s="68">
        <v>102</v>
      </c>
      <c r="F15" s="48">
        <f>E15*F11</f>
        <v>0.30599999999999999</v>
      </c>
      <c r="G15" s="48"/>
      <c r="H15" s="48"/>
      <c r="I15" s="48"/>
      <c r="J15" s="48"/>
      <c r="K15" s="48"/>
      <c r="L15" s="48"/>
      <c r="M15" s="48"/>
      <c r="N15" s="48" t="s">
        <v>264</v>
      </c>
      <c r="O15" s="69"/>
      <c r="P15" s="69"/>
    </row>
    <row r="16" spans="1:16" s="62" customFormat="1" ht="18" x14ac:dyDescent="0.25">
      <c r="A16" s="55"/>
      <c r="B16" s="63" t="s">
        <v>49</v>
      </c>
      <c r="C16" s="57"/>
      <c r="D16" s="58" t="s">
        <v>45</v>
      </c>
      <c r="E16" s="59">
        <v>62</v>
      </c>
      <c r="F16" s="60">
        <f>E16*F11</f>
        <v>0.186</v>
      </c>
      <c r="G16" s="48"/>
      <c r="H16" s="60"/>
      <c r="I16" s="60"/>
      <c r="J16" s="60"/>
      <c r="K16" s="60"/>
      <c r="L16" s="60"/>
      <c r="M16" s="60"/>
      <c r="N16" s="48" t="s">
        <v>264</v>
      </c>
      <c r="O16" s="61"/>
      <c r="P16" s="61"/>
    </row>
    <row r="17" spans="1:16" s="27" customFormat="1" ht="60" x14ac:dyDescent="0.3">
      <c r="A17" s="20">
        <v>3</v>
      </c>
      <c r="B17" s="21" t="s">
        <v>107</v>
      </c>
      <c r="C17" s="22" t="s">
        <v>108</v>
      </c>
      <c r="D17" s="23" t="s">
        <v>101</v>
      </c>
      <c r="E17" s="7"/>
      <c r="F17" s="72">
        <f>0.5/100</f>
        <v>5.0000000000000001E-3</v>
      </c>
      <c r="G17" s="24"/>
      <c r="H17" s="25"/>
      <c r="I17" s="24"/>
      <c r="J17" s="26"/>
      <c r="K17" s="24"/>
      <c r="L17" s="25"/>
      <c r="M17" s="26"/>
      <c r="N17" s="24" t="s">
        <v>264</v>
      </c>
    </row>
    <row r="18" spans="1:16" s="53" customFormat="1" ht="30" x14ac:dyDescent="0.3">
      <c r="A18" s="37"/>
      <c r="B18" s="49" t="s">
        <v>34</v>
      </c>
      <c r="C18" s="37"/>
      <c r="D18" s="37" t="s">
        <v>35</v>
      </c>
      <c r="E18" s="51">
        <v>1460</v>
      </c>
      <c r="F18" s="52">
        <f>E18*F17</f>
        <v>7.3</v>
      </c>
      <c r="G18" s="52"/>
      <c r="H18" s="48"/>
      <c r="I18" s="52"/>
      <c r="J18" s="52"/>
      <c r="K18" s="52"/>
      <c r="L18" s="48"/>
      <c r="M18" s="52"/>
      <c r="N18" s="52" t="s">
        <v>264</v>
      </c>
    </row>
    <row r="19" spans="1:16" s="53" customFormat="1" x14ac:dyDescent="0.3">
      <c r="A19" s="37"/>
      <c r="B19" s="74" t="s">
        <v>44</v>
      </c>
      <c r="C19" s="50"/>
      <c r="D19" s="37" t="s">
        <v>45</v>
      </c>
      <c r="E19" s="51">
        <v>93</v>
      </c>
      <c r="F19" s="52">
        <f>E19*F17</f>
        <v>0.46500000000000002</v>
      </c>
      <c r="G19" s="52"/>
      <c r="H19" s="52"/>
      <c r="I19" s="52"/>
      <c r="J19" s="52"/>
      <c r="K19" s="52"/>
      <c r="L19" s="48"/>
      <c r="M19" s="52"/>
      <c r="N19" s="52" t="s">
        <v>264</v>
      </c>
    </row>
    <row r="20" spans="1:16" s="62" customFormat="1" ht="18" x14ac:dyDescent="0.25">
      <c r="A20" s="55"/>
      <c r="B20" s="56" t="s">
        <v>40</v>
      </c>
      <c r="C20" s="57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61"/>
    </row>
    <row r="21" spans="1:16" s="62" customFormat="1" ht="18" x14ac:dyDescent="0.25">
      <c r="A21" s="55"/>
      <c r="B21" s="63" t="s">
        <v>109</v>
      </c>
      <c r="C21" s="57" t="s">
        <v>110</v>
      </c>
      <c r="D21" s="58" t="s">
        <v>41</v>
      </c>
      <c r="E21" s="59">
        <v>101.5</v>
      </c>
      <c r="F21" s="60">
        <f>E21*F17</f>
        <v>0.50750000000000006</v>
      </c>
      <c r="G21" s="48"/>
      <c r="H21" s="60"/>
      <c r="I21" s="60"/>
      <c r="J21" s="60"/>
      <c r="K21" s="60"/>
      <c r="L21" s="60"/>
      <c r="M21" s="60"/>
      <c r="N21" s="48" t="s">
        <v>264</v>
      </c>
      <c r="O21" s="61"/>
      <c r="P21" s="61"/>
    </row>
    <row r="22" spans="1:16" s="62" customFormat="1" ht="30" x14ac:dyDescent="0.25">
      <c r="A22" s="55"/>
      <c r="B22" s="122" t="s">
        <v>202</v>
      </c>
      <c r="C22" s="57" t="s">
        <v>111</v>
      </c>
      <c r="D22" s="58" t="s">
        <v>112</v>
      </c>
      <c r="E22" s="59" t="s">
        <v>113</v>
      </c>
      <c r="F22" s="48">
        <f>40/1000</f>
        <v>0.04</v>
      </c>
      <c r="G22" s="48"/>
      <c r="H22" s="60"/>
      <c r="I22" s="60"/>
      <c r="J22" s="60"/>
      <c r="K22" s="60"/>
      <c r="L22" s="60"/>
      <c r="M22" s="60"/>
      <c r="N22" s="48" t="s">
        <v>265</v>
      </c>
      <c r="O22" s="61"/>
      <c r="P22" s="61"/>
    </row>
    <row r="23" spans="1:16" s="62" customFormat="1" ht="18" x14ac:dyDescent="0.25">
      <c r="A23" s="55"/>
      <c r="B23" s="63" t="s">
        <v>114</v>
      </c>
      <c r="C23" s="57" t="s">
        <v>115</v>
      </c>
      <c r="D23" s="58" t="s">
        <v>116</v>
      </c>
      <c r="E23" s="59">
        <v>288</v>
      </c>
      <c r="F23" s="60">
        <f>E23*F17</f>
        <v>1.44</v>
      </c>
      <c r="G23" s="48"/>
      <c r="H23" s="60"/>
      <c r="I23" s="60"/>
      <c r="J23" s="60"/>
      <c r="K23" s="60"/>
      <c r="L23" s="60"/>
      <c r="M23" s="60"/>
      <c r="N23" s="48" t="s">
        <v>264</v>
      </c>
      <c r="O23" s="61"/>
      <c r="P23" s="61"/>
    </row>
    <row r="24" spans="1:16" s="62" customFormat="1" ht="18" x14ac:dyDescent="0.25">
      <c r="A24" s="55"/>
      <c r="B24" s="63" t="s">
        <v>117</v>
      </c>
      <c r="C24" s="57" t="s">
        <v>118</v>
      </c>
      <c r="D24" s="58" t="s">
        <v>41</v>
      </c>
      <c r="E24" s="59">
        <f>0.53+0.92+6.4</f>
        <v>7.8500000000000005</v>
      </c>
      <c r="F24" s="60">
        <f>E24*F17</f>
        <v>3.925E-2</v>
      </c>
      <c r="G24" s="48"/>
      <c r="H24" s="60"/>
      <c r="I24" s="60"/>
      <c r="J24" s="60"/>
      <c r="K24" s="60"/>
      <c r="L24" s="60"/>
      <c r="M24" s="60"/>
      <c r="N24" s="48" t="s">
        <v>264</v>
      </c>
      <c r="O24" s="61"/>
      <c r="P24" s="61"/>
    </row>
    <row r="25" spans="1:16" s="62" customFormat="1" ht="18" x14ac:dyDescent="0.25">
      <c r="A25" s="55"/>
      <c r="B25" s="63" t="s">
        <v>49</v>
      </c>
      <c r="C25" s="57"/>
      <c r="D25" s="58" t="s">
        <v>45</v>
      </c>
      <c r="E25" s="59">
        <v>296</v>
      </c>
      <c r="F25" s="60">
        <f>E25*F17</f>
        <v>1.48</v>
      </c>
      <c r="G25" s="48"/>
      <c r="H25" s="60"/>
      <c r="I25" s="60"/>
      <c r="J25" s="60"/>
      <c r="K25" s="60"/>
      <c r="L25" s="60"/>
      <c r="M25" s="60"/>
      <c r="N25" s="48" t="s">
        <v>264</v>
      </c>
      <c r="O25" s="61"/>
      <c r="P25" s="61"/>
    </row>
    <row r="26" spans="1:16" s="27" customFormat="1" ht="60" x14ac:dyDescent="0.3">
      <c r="A26" s="20">
        <v>4</v>
      </c>
      <c r="B26" s="21" t="s">
        <v>119</v>
      </c>
      <c r="C26" s="22" t="s">
        <v>108</v>
      </c>
      <c r="D26" s="23" t="s">
        <v>101</v>
      </c>
      <c r="E26" s="7"/>
      <c r="F26" s="72">
        <f>3.2/100</f>
        <v>3.2000000000000001E-2</v>
      </c>
      <c r="G26" s="24"/>
      <c r="H26" s="25"/>
      <c r="I26" s="24"/>
      <c r="J26" s="26"/>
      <c r="K26" s="24"/>
      <c r="L26" s="25"/>
      <c r="M26" s="26"/>
      <c r="N26" s="24" t="s">
        <v>264</v>
      </c>
    </row>
    <row r="27" spans="1:16" s="53" customFormat="1" ht="30" x14ac:dyDescent="0.3">
      <c r="A27" s="37"/>
      <c r="B27" s="49" t="s">
        <v>34</v>
      </c>
      <c r="C27" s="37"/>
      <c r="D27" s="37" t="s">
        <v>35</v>
      </c>
      <c r="E27" s="51">
        <v>1460</v>
      </c>
      <c r="F27" s="52">
        <f>E27*F26</f>
        <v>46.72</v>
      </c>
      <c r="G27" s="52"/>
      <c r="H27" s="48"/>
      <c r="I27" s="52"/>
      <c r="J27" s="52"/>
      <c r="K27" s="52"/>
      <c r="L27" s="48"/>
      <c r="M27" s="52"/>
      <c r="N27" s="52" t="s">
        <v>264</v>
      </c>
    </row>
    <row r="28" spans="1:16" s="53" customFormat="1" x14ac:dyDescent="0.3">
      <c r="A28" s="37"/>
      <c r="B28" s="74" t="s">
        <v>44</v>
      </c>
      <c r="C28" s="50"/>
      <c r="D28" s="37" t="s">
        <v>45</v>
      </c>
      <c r="E28" s="51">
        <v>93</v>
      </c>
      <c r="F28" s="52">
        <f>E28*F26</f>
        <v>2.976</v>
      </c>
      <c r="G28" s="52"/>
      <c r="H28" s="52"/>
      <c r="I28" s="52"/>
      <c r="J28" s="52"/>
      <c r="K28" s="52"/>
      <c r="L28" s="48"/>
      <c r="M28" s="52"/>
      <c r="N28" s="52" t="s">
        <v>264</v>
      </c>
    </row>
    <row r="29" spans="1:16" s="62" customFormat="1" ht="18" x14ac:dyDescent="0.25">
      <c r="A29" s="55"/>
      <c r="B29" s="56" t="s">
        <v>40</v>
      </c>
      <c r="C29" s="57"/>
      <c r="D29" s="58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61"/>
    </row>
    <row r="30" spans="1:16" s="62" customFormat="1" ht="18" x14ac:dyDescent="0.25">
      <c r="A30" s="55"/>
      <c r="B30" s="63" t="s">
        <v>109</v>
      </c>
      <c r="C30" s="57" t="s">
        <v>110</v>
      </c>
      <c r="D30" s="58" t="s">
        <v>41</v>
      </c>
      <c r="E30" s="59">
        <v>101.5</v>
      </c>
      <c r="F30" s="60">
        <f>E30*F26</f>
        <v>3.2480000000000002</v>
      </c>
      <c r="G30" s="48"/>
      <c r="H30" s="60"/>
      <c r="I30" s="60"/>
      <c r="J30" s="60"/>
      <c r="K30" s="60"/>
      <c r="L30" s="60"/>
      <c r="M30" s="60"/>
      <c r="N30" s="48" t="s">
        <v>264</v>
      </c>
      <c r="O30" s="61"/>
      <c r="P30" s="61"/>
    </row>
    <row r="31" spans="1:16" s="62" customFormat="1" ht="30" x14ac:dyDescent="0.25">
      <c r="A31" s="55"/>
      <c r="B31" s="122" t="s">
        <v>201</v>
      </c>
      <c r="C31" s="57" t="s">
        <v>111</v>
      </c>
      <c r="D31" s="58" t="s">
        <v>120</v>
      </c>
      <c r="E31" s="59" t="s">
        <v>113</v>
      </c>
      <c r="F31" s="48">
        <f>256/1000</f>
        <v>0.25600000000000001</v>
      </c>
      <c r="G31" s="48"/>
      <c r="H31" s="60"/>
      <c r="I31" s="60"/>
      <c r="J31" s="60"/>
      <c r="K31" s="60"/>
      <c r="L31" s="60"/>
      <c r="M31" s="60"/>
      <c r="N31" s="48" t="s">
        <v>265</v>
      </c>
      <c r="O31" s="61"/>
      <c r="P31" s="61"/>
    </row>
    <row r="32" spans="1:16" s="62" customFormat="1" ht="18" x14ac:dyDescent="0.25">
      <c r="A32" s="55"/>
      <c r="B32" s="63" t="s">
        <v>114</v>
      </c>
      <c r="C32" s="57" t="s">
        <v>115</v>
      </c>
      <c r="D32" s="58" t="s">
        <v>116</v>
      </c>
      <c r="E32" s="59">
        <v>288</v>
      </c>
      <c r="F32" s="60">
        <f>E32*F26</f>
        <v>9.2160000000000011</v>
      </c>
      <c r="G32" s="48"/>
      <c r="H32" s="60"/>
      <c r="I32" s="60"/>
      <c r="J32" s="60"/>
      <c r="K32" s="60"/>
      <c r="L32" s="60"/>
      <c r="M32" s="60"/>
      <c r="N32" s="48" t="s">
        <v>264</v>
      </c>
      <c r="O32" s="61"/>
      <c r="P32" s="61"/>
    </row>
    <row r="33" spans="1:16" s="62" customFormat="1" ht="18" x14ac:dyDescent="0.25">
      <c r="A33" s="55"/>
      <c r="B33" s="63" t="s">
        <v>121</v>
      </c>
      <c r="C33" s="57" t="s">
        <v>118</v>
      </c>
      <c r="D33" s="58" t="s">
        <v>41</v>
      </c>
      <c r="E33" s="59">
        <f>0.53+0.92+6.4</f>
        <v>7.8500000000000005</v>
      </c>
      <c r="F33" s="60">
        <f>E33*F26</f>
        <v>0.25120000000000003</v>
      </c>
      <c r="G33" s="48"/>
      <c r="H33" s="60"/>
      <c r="I33" s="60"/>
      <c r="J33" s="60"/>
      <c r="K33" s="60"/>
      <c r="L33" s="60"/>
      <c r="M33" s="60"/>
      <c r="N33" s="48" t="s">
        <v>264</v>
      </c>
      <c r="O33" s="61"/>
      <c r="P33" s="61"/>
    </row>
    <row r="34" spans="1:16" s="62" customFormat="1" ht="18" x14ac:dyDescent="0.25">
      <c r="A34" s="55"/>
      <c r="B34" s="63" t="s">
        <v>49</v>
      </c>
      <c r="C34" s="57"/>
      <c r="D34" s="58" t="s">
        <v>45</v>
      </c>
      <c r="E34" s="59">
        <v>296</v>
      </c>
      <c r="F34" s="60">
        <f>E34*F26</f>
        <v>9.4719999999999995</v>
      </c>
      <c r="G34" s="48"/>
      <c r="H34" s="60"/>
      <c r="I34" s="60"/>
      <c r="J34" s="60"/>
      <c r="K34" s="60"/>
      <c r="L34" s="60"/>
      <c r="M34" s="60"/>
      <c r="N34" s="48" t="s">
        <v>264</v>
      </c>
      <c r="O34" s="61"/>
      <c r="P34" s="61"/>
    </row>
    <row r="35" spans="1:16" s="27" customFormat="1" ht="45" x14ac:dyDescent="0.3">
      <c r="A35" s="20">
        <v>5</v>
      </c>
      <c r="B35" s="21" t="s">
        <v>210</v>
      </c>
      <c r="C35" s="22" t="s">
        <v>203</v>
      </c>
      <c r="D35" s="20" t="s">
        <v>211</v>
      </c>
      <c r="E35" s="7"/>
      <c r="F35" s="72">
        <v>0.06</v>
      </c>
      <c r="G35" s="24"/>
      <c r="H35" s="25"/>
      <c r="I35" s="24"/>
      <c r="J35" s="26"/>
      <c r="K35" s="24"/>
      <c r="L35" s="25"/>
      <c r="M35" s="26"/>
      <c r="N35" s="24" t="s">
        <v>264</v>
      </c>
    </row>
    <row r="36" spans="1:16" s="53" customFormat="1" ht="30" x14ac:dyDescent="0.3">
      <c r="A36" s="37"/>
      <c r="B36" s="49" t="s">
        <v>204</v>
      </c>
      <c r="C36" s="37"/>
      <c r="D36" s="37" t="s">
        <v>66</v>
      </c>
      <c r="E36" s="51">
        <v>97</v>
      </c>
      <c r="F36" s="52">
        <f>E36*F35</f>
        <v>5.8199999999999994</v>
      </c>
      <c r="G36" s="52"/>
      <c r="H36" s="48"/>
      <c r="I36" s="52"/>
      <c r="J36" s="52"/>
      <c r="K36" s="52"/>
      <c r="L36" s="48"/>
      <c r="M36" s="52"/>
      <c r="N36" s="52" t="s">
        <v>264</v>
      </c>
    </row>
    <row r="37" spans="1:16" s="53" customFormat="1" x14ac:dyDescent="0.3">
      <c r="A37" s="37"/>
      <c r="B37" s="74" t="s">
        <v>205</v>
      </c>
      <c r="C37" s="50"/>
      <c r="D37" s="37" t="s">
        <v>45</v>
      </c>
      <c r="E37" s="51">
        <v>0.51</v>
      </c>
      <c r="F37" s="52">
        <f>E37*F35</f>
        <v>3.0599999999999999E-2</v>
      </c>
      <c r="G37" s="52"/>
      <c r="H37" s="52"/>
      <c r="I37" s="52"/>
      <c r="J37" s="52"/>
      <c r="K37" s="52"/>
      <c r="L37" s="48"/>
      <c r="M37" s="52"/>
      <c r="N37" s="52" t="s">
        <v>264</v>
      </c>
    </row>
    <row r="38" spans="1:16" s="62" customFormat="1" ht="18" x14ac:dyDescent="0.25">
      <c r="A38" s="55"/>
      <c r="B38" s="56" t="s">
        <v>206</v>
      </c>
      <c r="C38" s="57"/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</row>
    <row r="39" spans="1:16" s="62" customFormat="1" ht="30" x14ac:dyDescent="0.25">
      <c r="A39" s="55"/>
      <c r="B39" s="63" t="s">
        <v>207</v>
      </c>
      <c r="C39" s="57"/>
      <c r="D39" s="58" t="s">
        <v>208</v>
      </c>
      <c r="E39" s="59">
        <v>100</v>
      </c>
      <c r="F39" s="60">
        <f>E39*F35</f>
        <v>6</v>
      </c>
      <c r="G39" s="48"/>
      <c r="H39" s="60"/>
      <c r="I39" s="60"/>
      <c r="J39" s="60"/>
      <c r="K39" s="60"/>
      <c r="L39" s="60"/>
      <c r="M39" s="60"/>
      <c r="N39" s="48" t="s">
        <v>264</v>
      </c>
    </row>
    <row r="40" spans="1:16" s="62" customFormat="1" ht="18" x14ac:dyDescent="0.25">
      <c r="A40" s="55"/>
      <c r="B40" s="63" t="s">
        <v>209</v>
      </c>
      <c r="C40" s="57"/>
      <c r="D40" s="58" t="s">
        <v>45</v>
      </c>
      <c r="E40" s="59">
        <v>2.76</v>
      </c>
      <c r="F40" s="60">
        <f>E40*F35</f>
        <v>0.16559999999999997</v>
      </c>
      <c r="G40" s="48"/>
      <c r="H40" s="60"/>
      <c r="I40" s="60"/>
      <c r="J40" s="60"/>
      <c r="K40" s="60"/>
      <c r="L40" s="60"/>
      <c r="M40" s="60"/>
      <c r="N40" s="48" t="s">
        <v>264</v>
      </c>
    </row>
    <row r="41" spans="1:16" s="27" customFormat="1" ht="45" x14ac:dyDescent="0.3">
      <c r="A41" s="20">
        <v>6</v>
      </c>
      <c r="B41" s="21" t="s">
        <v>134</v>
      </c>
      <c r="C41" s="22" t="s">
        <v>135</v>
      </c>
      <c r="D41" s="23" t="s">
        <v>136</v>
      </c>
      <c r="E41" s="7"/>
      <c r="F41" s="72">
        <v>1</v>
      </c>
      <c r="G41" s="24"/>
      <c r="H41" s="25"/>
      <c r="I41" s="24"/>
      <c r="J41" s="26"/>
      <c r="K41" s="24"/>
      <c r="L41" s="25"/>
      <c r="M41" s="26"/>
      <c r="N41" s="24" t="s">
        <v>264</v>
      </c>
    </row>
    <row r="42" spans="1:16" s="90" customFormat="1" ht="30" x14ac:dyDescent="0.25">
      <c r="A42" s="88"/>
      <c r="B42" s="74" t="s">
        <v>127</v>
      </c>
      <c r="C42" s="88"/>
      <c r="D42" s="89" t="s">
        <v>137</v>
      </c>
      <c r="E42" s="89">
        <f>68/100</f>
        <v>0.68</v>
      </c>
      <c r="F42" s="56">
        <f>E42*F41</f>
        <v>0.68</v>
      </c>
      <c r="G42" s="56"/>
      <c r="H42" s="56"/>
      <c r="I42" s="56"/>
      <c r="J42" s="56"/>
      <c r="K42" s="56"/>
      <c r="L42" s="56"/>
      <c r="M42" s="56"/>
      <c r="N42" s="56" t="s">
        <v>264</v>
      </c>
    </row>
    <row r="43" spans="1:16" s="90" customFormat="1" x14ac:dyDescent="0.25">
      <c r="A43" s="91"/>
      <c r="B43" s="74" t="s">
        <v>44</v>
      </c>
      <c r="C43" s="88"/>
      <c r="D43" s="56" t="s">
        <v>45</v>
      </c>
      <c r="E43" s="92">
        <f>0.03/100</f>
        <v>2.9999999999999997E-4</v>
      </c>
      <c r="F43" s="92">
        <f>E43*F41</f>
        <v>2.9999999999999997E-4</v>
      </c>
      <c r="G43" s="56"/>
      <c r="H43" s="56"/>
      <c r="I43" s="56"/>
      <c r="J43" s="56"/>
      <c r="K43" s="56"/>
      <c r="L43" s="89"/>
      <c r="M43" s="89"/>
      <c r="N43" s="56" t="s">
        <v>264</v>
      </c>
    </row>
    <row r="44" spans="1:16" s="94" customFormat="1" x14ac:dyDescent="0.25">
      <c r="A44" s="93"/>
      <c r="B44" s="88" t="s">
        <v>40</v>
      </c>
      <c r="C44" s="88"/>
      <c r="D44" s="89"/>
      <c r="E44" s="89"/>
      <c r="F44" s="56"/>
      <c r="G44" s="56"/>
      <c r="H44" s="56"/>
      <c r="I44" s="56"/>
      <c r="J44" s="56"/>
      <c r="K44" s="56"/>
      <c r="L44" s="56"/>
      <c r="M44" s="56"/>
      <c r="N44" s="56"/>
    </row>
    <row r="45" spans="1:16" s="62" customFormat="1" ht="18" x14ac:dyDescent="0.25">
      <c r="A45" s="55"/>
      <c r="B45" s="63" t="s">
        <v>138</v>
      </c>
      <c r="C45" s="57" t="s">
        <v>139</v>
      </c>
      <c r="D45" s="58" t="s">
        <v>133</v>
      </c>
      <c r="E45" s="59">
        <f>(25.1+0.2+2.7)/100</f>
        <v>0.28000000000000003</v>
      </c>
      <c r="F45" s="60">
        <f>E45*F41</f>
        <v>0.28000000000000003</v>
      </c>
      <c r="G45" s="48"/>
      <c r="H45" s="60"/>
      <c r="I45" s="60"/>
      <c r="J45" s="60"/>
      <c r="K45" s="60"/>
      <c r="L45" s="60"/>
      <c r="M45" s="60"/>
      <c r="N45" s="48" t="s">
        <v>264</v>
      </c>
      <c r="O45" s="61"/>
      <c r="P45" s="61"/>
    </row>
    <row r="46" spans="1:16" s="62" customFormat="1" ht="18" x14ac:dyDescent="0.25">
      <c r="A46" s="55"/>
      <c r="B46" s="63" t="s">
        <v>49</v>
      </c>
      <c r="C46" s="57"/>
      <c r="D46" s="58" t="s">
        <v>45</v>
      </c>
      <c r="E46" s="59">
        <f>0.19/100</f>
        <v>1.9E-3</v>
      </c>
      <c r="F46" s="59">
        <f>E46*F41</f>
        <v>1.9E-3</v>
      </c>
      <c r="G46" s="48"/>
      <c r="H46" s="60"/>
      <c r="I46" s="60"/>
      <c r="J46" s="60"/>
      <c r="K46" s="60"/>
      <c r="L46" s="60"/>
      <c r="M46" s="60"/>
      <c r="N46" s="48" t="s">
        <v>264</v>
      </c>
      <c r="O46" s="61"/>
      <c r="P46" s="61"/>
    </row>
    <row r="47" spans="1:16" s="104" customFormat="1" ht="46.5" customHeight="1" x14ac:dyDescent="0.25">
      <c r="A47" s="87" t="s">
        <v>263</v>
      </c>
      <c r="B47" s="95" t="s">
        <v>249</v>
      </c>
      <c r="C47" s="22" t="s">
        <v>257</v>
      </c>
      <c r="D47" s="54" t="s">
        <v>255</v>
      </c>
      <c r="E47" s="101"/>
      <c r="F47" s="102">
        <v>1</v>
      </c>
      <c r="G47" s="103"/>
      <c r="H47" s="103"/>
      <c r="I47" s="103"/>
      <c r="J47" s="103"/>
      <c r="K47" s="103"/>
      <c r="L47" s="103"/>
      <c r="M47" s="103"/>
      <c r="N47" s="103" t="s">
        <v>264</v>
      </c>
    </row>
    <row r="48" spans="1:16" s="114" customFormat="1" ht="18" x14ac:dyDescent="0.25">
      <c r="A48" s="115"/>
      <c r="B48" s="117" t="s">
        <v>250</v>
      </c>
      <c r="C48" s="117"/>
      <c r="D48" s="111" t="s">
        <v>251</v>
      </c>
      <c r="E48" s="111">
        <v>1.54</v>
      </c>
      <c r="F48" s="112">
        <v>1.54</v>
      </c>
      <c r="G48" s="111"/>
      <c r="H48" s="112"/>
      <c r="I48" s="118"/>
      <c r="J48" s="112"/>
      <c r="K48" s="111"/>
      <c r="L48" s="112"/>
      <c r="M48" s="113"/>
      <c r="N48" s="111" t="s">
        <v>264</v>
      </c>
    </row>
    <row r="49" spans="1:16" s="114" customFormat="1" ht="18" x14ac:dyDescent="0.25">
      <c r="A49" s="115"/>
      <c r="B49" s="117" t="s">
        <v>252</v>
      </c>
      <c r="C49" s="117"/>
      <c r="D49" s="111" t="s">
        <v>253</v>
      </c>
      <c r="E49" s="111">
        <v>0.09</v>
      </c>
      <c r="F49" s="112">
        <v>0.09</v>
      </c>
      <c r="G49" s="111"/>
      <c r="H49" s="112"/>
      <c r="I49" s="111"/>
      <c r="J49" s="112"/>
      <c r="K49" s="111"/>
      <c r="L49" s="112"/>
      <c r="M49" s="113"/>
      <c r="N49" s="111" t="s">
        <v>264</v>
      </c>
    </row>
    <row r="50" spans="1:16" s="114" customFormat="1" ht="18" x14ac:dyDescent="0.25">
      <c r="A50" s="115"/>
      <c r="B50" s="116" t="s">
        <v>254</v>
      </c>
      <c r="C50" s="116"/>
      <c r="D50" s="111"/>
      <c r="E50" s="111"/>
      <c r="F50" s="112"/>
      <c r="G50" s="111"/>
      <c r="H50" s="112"/>
      <c r="I50" s="111"/>
      <c r="J50" s="112"/>
      <c r="K50" s="111"/>
      <c r="L50" s="112"/>
      <c r="M50" s="113"/>
      <c r="N50" s="111"/>
    </row>
    <row r="51" spans="1:16" s="114" customFormat="1" ht="19.5" x14ac:dyDescent="0.25">
      <c r="A51" s="115"/>
      <c r="B51" s="117" t="s">
        <v>259</v>
      </c>
      <c r="C51" s="119" t="s">
        <v>258</v>
      </c>
      <c r="D51" s="111" t="s">
        <v>260</v>
      </c>
      <c r="E51" s="120">
        <v>1.4E-2</v>
      </c>
      <c r="F51" s="112">
        <v>1.4E-2</v>
      </c>
      <c r="G51" s="112"/>
      <c r="H51" s="112"/>
      <c r="I51" s="111"/>
      <c r="J51" s="112"/>
      <c r="K51" s="111"/>
      <c r="L51" s="112"/>
      <c r="M51" s="113"/>
      <c r="N51" s="112" t="s">
        <v>264</v>
      </c>
    </row>
    <row r="52" spans="1:16" s="114" customFormat="1" ht="18" x14ac:dyDescent="0.25">
      <c r="A52" s="115"/>
      <c r="B52" s="117" t="s">
        <v>262</v>
      </c>
      <c r="C52" s="119" t="s">
        <v>261</v>
      </c>
      <c r="D52" s="111" t="s">
        <v>255</v>
      </c>
      <c r="E52" s="120"/>
      <c r="F52" s="112">
        <v>1</v>
      </c>
      <c r="G52" s="112"/>
      <c r="H52" s="112"/>
      <c r="I52" s="112"/>
      <c r="J52" s="112"/>
      <c r="K52" s="111"/>
      <c r="L52" s="112"/>
      <c r="M52" s="113"/>
      <c r="N52" s="112" t="s">
        <v>264</v>
      </c>
    </row>
    <row r="53" spans="1:16" s="27" customFormat="1" ht="60" x14ac:dyDescent="0.3">
      <c r="A53" s="20">
        <v>8</v>
      </c>
      <c r="B53" s="95" t="s">
        <v>3</v>
      </c>
      <c r="C53" s="22" t="s">
        <v>59</v>
      </c>
      <c r="D53" s="54" t="s">
        <v>33</v>
      </c>
      <c r="E53" s="7"/>
      <c r="F53" s="72">
        <f>2.3/1000</f>
        <v>2.3E-3</v>
      </c>
      <c r="G53" s="24"/>
      <c r="H53" s="25"/>
      <c r="I53" s="24"/>
      <c r="J53" s="26"/>
      <c r="K53" s="24"/>
      <c r="L53" s="25"/>
      <c r="M53" s="26"/>
      <c r="N53" s="24" t="s">
        <v>264</v>
      </c>
    </row>
    <row r="54" spans="1:16" s="53" customFormat="1" ht="30" x14ac:dyDescent="0.3">
      <c r="A54" s="37"/>
      <c r="B54" s="49" t="s">
        <v>60</v>
      </c>
      <c r="C54" s="50" t="s">
        <v>30</v>
      </c>
      <c r="D54" s="37" t="s">
        <v>31</v>
      </c>
      <c r="E54" s="51">
        <v>9.2100000000000009</v>
      </c>
      <c r="F54" s="52">
        <f>E54*F53</f>
        <v>2.1183E-2</v>
      </c>
      <c r="G54" s="52"/>
      <c r="H54" s="52"/>
      <c r="I54" s="52"/>
      <c r="J54" s="52"/>
      <c r="K54" s="52"/>
      <c r="L54" s="48"/>
      <c r="M54" s="52"/>
      <c r="N54" s="52" t="s">
        <v>264</v>
      </c>
    </row>
    <row r="55" spans="1:16" s="27" customFormat="1" ht="90" x14ac:dyDescent="0.3">
      <c r="A55" s="20">
        <v>9</v>
      </c>
      <c r="B55" s="21" t="s">
        <v>236</v>
      </c>
      <c r="C55" s="22" t="s">
        <v>61</v>
      </c>
      <c r="D55" s="23" t="s">
        <v>33</v>
      </c>
      <c r="E55" s="7"/>
      <c r="F55" s="72">
        <f>6.7/1000</f>
        <v>6.7000000000000002E-3</v>
      </c>
      <c r="G55" s="24"/>
      <c r="H55" s="25"/>
      <c r="I55" s="24"/>
      <c r="J55" s="26"/>
      <c r="K55" s="24"/>
      <c r="L55" s="25"/>
      <c r="M55" s="26"/>
      <c r="N55" s="24" t="s">
        <v>264</v>
      </c>
    </row>
    <row r="56" spans="1:16" s="53" customFormat="1" ht="30" x14ac:dyDescent="0.3">
      <c r="A56" s="37"/>
      <c r="B56" s="49" t="s">
        <v>34</v>
      </c>
      <c r="C56" s="37"/>
      <c r="D56" s="37" t="s">
        <v>58</v>
      </c>
      <c r="E56" s="51">
        <v>13.2</v>
      </c>
      <c r="F56" s="52">
        <f>E56*F55</f>
        <v>8.8440000000000005E-2</v>
      </c>
      <c r="G56" s="52"/>
      <c r="H56" s="48"/>
      <c r="I56" s="52"/>
      <c r="J56" s="52"/>
      <c r="K56" s="52"/>
      <c r="L56" s="48"/>
      <c r="M56" s="52"/>
      <c r="N56" s="52" t="s">
        <v>264</v>
      </c>
    </row>
    <row r="57" spans="1:16" s="53" customFormat="1" ht="30" x14ac:dyDescent="0.3">
      <c r="A57" s="37"/>
      <c r="B57" s="49" t="s">
        <v>36</v>
      </c>
      <c r="C57" s="50" t="s">
        <v>37</v>
      </c>
      <c r="D57" s="37" t="s">
        <v>31</v>
      </c>
      <c r="E57" s="51">
        <v>29.5</v>
      </c>
      <c r="F57" s="52">
        <f>E57*F55</f>
        <v>0.19765000000000002</v>
      </c>
      <c r="G57" s="52"/>
      <c r="H57" s="52"/>
      <c r="I57" s="52"/>
      <c r="J57" s="52"/>
      <c r="K57" s="52"/>
      <c r="L57" s="48"/>
      <c r="M57" s="52"/>
      <c r="N57" s="52" t="s">
        <v>264</v>
      </c>
    </row>
    <row r="58" spans="1:16" s="53" customFormat="1" x14ac:dyDescent="0.3">
      <c r="A58" s="37"/>
      <c r="B58" s="74" t="s">
        <v>44</v>
      </c>
      <c r="C58" s="50"/>
      <c r="D58" s="37" t="s">
        <v>45</v>
      </c>
      <c r="E58" s="51">
        <v>2.1</v>
      </c>
      <c r="F58" s="52">
        <f>E58*F55</f>
        <v>1.4070000000000001E-2</v>
      </c>
      <c r="G58" s="52"/>
      <c r="H58" s="52"/>
      <c r="I58" s="52"/>
      <c r="J58" s="52"/>
      <c r="K58" s="52"/>
      <c r="L58" s="48"/>
      <c r="M58" s="52"/>
      <c r="N58" s="52" t="s">
        <v>264</v>
      </c>
    </row>
    <row r="59" spans="1:16" s="53" customFormat="1" ht="30" x14ac:dyDescent="0.3">
      <c r="A59" s="37"/>
      <c r="B59" s="74" t="s">
        <v>62</v>
      </c>
      <c r="C59" s="50" t="s">
        <v>63</v>
      </c>
      <c r="D59" s="37" t="s">
        <v>45</v>
      </c>
      <c r="E59" s="51">
        <v>1950</v>
      </c>
      <c r="F59" s="52">
        <f>E59*F55</f>
        <v>13.065000000000001</v>
      </c>
      <c r="G59" s="52"/>
      <c r="H59" s="52"/>
      <c r="I59" s="52"/>
      <c r="J59" s="52"/>
      <c r="K59" s="52"/>
      <c r="L59" s="48"/>
      <c r="M59" s="52"/>
      <c r="N59" s="52" t="s">
        <v>264</v>
      </c>
    </row>
    <row r="60" spans="1:16" s="27" customFormat="1" ht="45" x14ac:dyDescent="0.3">
      <c r="A60" s="20">
        <v>10</v>
      </c>
      <c r="B60" s="21" t="s">
        <v>184</v>
      </c>
      <c r="C60" s="22" t="s">
        <v>178</v>
      </c>
      <c r="D60" s="23" t="s">
        <v>68</v>
      </c>
      <c r="E60" s="7"/>
      <c r="F60" s="72">
        <f>18/100</f>
        <v>0.18</v>
      </c>
      <c r="G60" s="24"/>
      <c r="H60" s="25"/>
      <c r="I60" s="24"/>
      <c r="J60" s="26"/>
      <c r="K60" s="24"/>
      <c r="L60" s="25"/>
      <c r="M60" s="26"/>
      <c r="N60" s="24" t="s">
        <v>264</v>
      </c>
    </row>
    <row r="61" spans="1:16" s="90" customFormat="1" ht="30" x14ac:dyDescent="0.25">
      <c r="A61" s="88"/>
      <c r="B61" s="74" t="s">
        <v>127</v>
      </c>
      <c r="C61" s="88"/>
      <c r="D61" s="89" t="s">
        <v>66</v>
      </c>
      <c r="E61" s="89">
        <v>56.4</v>
      </c>
      <c r="F61" s="56">
        <f>E61*F60</f>
        <v>10.151999999999999</v>
      </c>
      <c r="G61" s="56"/>
      <c r="H61" s="56"/>
      <c r="I61" s="56"/>
      <c r="J61" s="56"/>
      <c r="K61" s="56"/>
      <c r="L61" s="56"/>
      <c r="M61" s="56"/>
      <c r="N61" s="56" t="s">
        <v>264</v>
      </c>
    </row>
    <row r="62" spans="1:16" s="90" customFormat="1" x14ac:dyDescent="0.25">
      <c r="A62" s="91"/>
      <c r="B62" s="74" t="s">
        <v>179</v>
      </c>
      <c r="C62" s="88"/>
      <c r="D62" s="56" t="s">
        <v>45</v>
      </c>
      <c r="E62" s="89">
        <v>4.09</v>
      </c>
      <c r="F62" s="56">
        <f>E62*F60</f>
        <v>0.73619999999999997</v>
      </c>
      <c r="G62" s="56"/>
      <c r="H62" s="56"/>
      <c r="I62" s="56"/>
      <c r="J62" s="56"/>
      <c r="K62" s="56"/>
      <c r="L62" s="56"/>
      <c r="M62" s="56"/>
      <c r="N62" s="56" t="s">
        <v>264</v>
      </c>
    </row>
    <row r="63" spans="1:16" s="94" customFormat="1" x14ac:dyDescent="0.25">
      <c r="A63" s="93"/>
      <c r="B63" s="88" t="s">
        <v>67</v>
      </c>
      <c r="C63" s="88"/>
      <c r="D63" s="89"/>
      <c r="E63" s="89"/>
      <c r="F63" s="56"/>
      <c r="G63" s="56"/>
      <c r="H63" s="56"/>
      <c r="I63" s="56"/>
      <c r="J63" s="56"/>
      <c r="K63" s="56"/>
      <c r="L63" s="56"/>
      <c r="M63" s="56"/>
      <c r="N63" s="56"/>
    </row>
    <row r="64" spans="1:16" s="62" customFormat="1" ht="18" x14ac:dyDescent="0.25">
      <c r="A64" s="55"/>
      <c r="B64" s="63" t="s">
        <v>180</v>
      </c>
      <c r="C64" s="57" t="s">
        <v>181</v>
      </c>
      <c r="D64" s="58" t="s">
        <v>112</v>
      </c>
      <c r="E64" s="59">
        <f>0.45</f>
        <v>0.45</v>
      </c>
      <c r="F64" s="60">
        <f>E64*F60</f>
        <v>8.1000000000000003E-2</v>
      </c>
      <c r="G64" s="48"/>
      <c r="H64" s="60"/>
      <c r="I64" s="60"/>
      <c r="J64" s="60"/>
      <c r="K64" s="60"/>
      <c r="L64" s="60"/>
      <c r="M64" s="60"/>
      <c r="N64" s="48" t="s">
        <v>264</v>
      </c>
      <c r="O64" s="61"/>
      <c r="P64" s="61"/>
    </row>
    <row r="65" spans="1:16" s="62" customFormat="1" ht="18" x14ac:dyDescent="0.25">
      <c r="A65" s="55"/>
      <c r="B65" s="63" t="s">
        <v>182</v>
      </c>
      <c r="C65" s="57" t="s">
        <v>183</v>
      </c>
      <c r="D65" s="58" t="s">
        <v>41</v>
      </c>
      <c r="E65" s="59">
        <v>0.75</v>
      </c>
      <c r="F65" s="60">
        <f>E65*F60</f>
        <v>0.13500000000000001</v>
      </c>
      <c r="G65" s="48"/>
      <c r="H65" s="60"/>
      <c r="I65" s="60"/>
      <c r="J65" s="60"/>
      <c r="K65" s="60"/>
      <c r="L65" s="60"/>
      <c r="M65" s="60"/>
      <c r="N65" s="48" t="s">
        <v>264</v>
      </c>
      <c r="O65" s="61"/>
      <c r="P65" s="61"/>
    </row>
    <row r="66" spans="1:16" s="62" customFormat="1" ht="18" x14ac:dyDescent="0.25">
      <c r="A66" s="55"/>
      <c r="B66" s="63" t="s">
        <v>49</v>
      </c>
      <c r="C66" s="57"/>
      <c r="D66" s="58" t="s">
        <v>45</v>
      </c>
      <c r="E66" s="59">
        <v>26.5</v>
      </c>
      <c r="F66" s="60">
        <f>E66*F60</f>
        <v>4.7699999999999996</v>
      </c>
      <c r="G66" s="48"/>
      <c r="H66" s="60"/>
      <c r="I66" s="60"/>
      <c r="J66" s="60"/>
      <c r="K66" s="60"/>
      <c r="L66" s="60"/>
      <c r="M66" s="60"/>
      <c r="N66" s="48" t="s">
        <v>264</v>
      </c>
      <c r="O66" s="61"/>
      <c r="P66" s="61"/>
    </row>
    <row r="67" spans="1:16" s="27" customFormat="1" ht="30" x14ac:dyDescent="0.3">
      <c r="A67" s="20">
        <v>11</v>
      </c>
      <c r="B67" s="21" t="s">
        <v>237</v>
      </c>
      <c r="C67" s="22" t="s">
        <v>168</v>
      </c>
      <c r="D67" s="20" t="s">
        <v>153</v>
      </c>
      <c r="E67" s="7"/>
      <c r="F67" s="72">
        <v>3</v>
      </c>
      <c r="G67" s="24"/>
      <c r="H67" s="25"/>
      <c r="I67" s="24"/>
      <c r="J67" s="26"/>
      <c r="K67" s="24"/>
      <c r="L67" s="25"/>
      <c r="M67" s="26"/>
      <c r="N67" s="24" t="s">
        <v>264</v>
      </c>
    </row>
    <row r="68" spans="1:16" s="53" customFormat="1" ht="30" x14ac:dyDescent="0.3">
      <c r="A68" s="37"/>
      <c r="B68" s="49" t="s">
        <v>34</v>
      </c>
      <c r="C68" s="37"/>
      <c r="D68" s="37" t="s">
        <v>58</v>
      </c>
      <c r="E68" s="51">
        <f>266/100</f>
        <v>2.66</v>
      </c>
      <c r="F68" s="52">
        <f>E68*F67</f>
        <v>7.98</v>
      </c>
      <c r="G68" s="52"/>
      <c r="H68" s="48"/>
      <c r="I68" s="52"/>
      <c r="J68" s="52"/>
      <c r="K68" s="52"/>
      <c r="L68" s="48"/>
      <c r="M68" s="52"/>
      <c r="N68" s="52" t="s">
        <v>264</v>
      </c>
    </row>
    <row r="69" spans="1:16" s="53" customFormat="1" x14ac:dyDescent="0.3">
      <c r="A69" s="37"/>
      <c r="B69" s="74" t="s">
        <v>44</v>
      </c>
      <c r="C69" s="50"/>
      <c r="D69" s="37" t="s">
        <v>45</v>
      </c>
      <c r="E69" s="51">
        <f>33.9/100</f>
        <v>0.33899999999999997</v>
      </c>
      <c r="F69" s="52">
        <f>E69*F67</f>
        <v>1.0169999999999999</v>
      </c>
      <c r="G69" s="52"/>
      <c r="H69" s="52"/>
      <c r="I69" s="52"/>
      <c r="J69" s="52"/>
      <c r="K69" s="52"/>
      <c r="L69" s="48"/>
      <c r="M69" s="52"/>
      <c r="N69" s="52" t="s">
        <v>264</v>
      </c>
    </row>
    <row r="70" spans="1:16" s="62" customFormat="1" ht="18" x14ac:dyDescent="0.25">
      <c r="A70" s="55"/>
      <c r="B70" s="56" t="s">
        <v>40</v>
      </c>
      <c r="C70" s="57"/>
      <c r="D70" s="58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1"/>
    </row>
    <row r="71" spans="1:16" s="62" customFormat="1" ht="18" x14ac:dyDescent="0.25">
      <c r="A71" s="55"/>
      <c r="B71" s="122" t="s">
        <v>238</v>
      </c>
      <c r="C71" s="57" t="s">
        <v>169</v>
      </c>
      <c r="D71" s="58" t="s">
        <v>48</v>
      </c>
      <c r="E71" s="59">
        <v>1</v>
      </c>
      <c r="F71" s="60">
        <f>E71*F67</f>
        <v>3</v>
      </c>
      <c r="G71" s="60"/>
      <c r="H71" s="60"/>
      <c r="I71" s="60"/>
      <c r="J71" s="60"/>
      <c r="K71" s="60"/>
      <c r="L71" s="60"/>
      <c r="M71" s="60"/>
      <c r="N71" s="60" t="s">
        <v>265</v>
      </c>
      <c r="O71" s="61"/>
      <c r="P71" s="61"/>
    </row>
    <row r="72" spans="1:16" s="62" customFormat="1" ht="18" x14ac:dyDescent="0.25">
      <c r="A72" s="55"/>
      <c r="B72" s="63" t="s">
        <v>49</v>
      </c>
      <c r="C72" s="57"/>
      <c r="D72" s="58" t="s">
        <v>45</v>
      </c>
      <c r="E72" s="59">
        <f>45.2/100</f>
        <v>0.45200000000000001</v>
      </c>
      <c r="F72" s="60">
        <f>E72*F67</f>
        <v>1.3560000000000001</v>
      </c>
      <c r="G72" s="48"/>
      <c r="H72" s="60"/>
      <c r="I72" s="60"/>
      <c r="J72" s="60"/>
      <c r="K72" s="60"/>
      <c r="L72" s="60"/>
      <c r="M72" s="60"/>
      <c r="N72" s="48" t="s">
        <v>264</v>
      </c>
      <c r="O72" s="61"/>
      <c r="P72" s="61"/>
    </row>
    <row r="73" spans="1:16" s="27" customFormat="1" ht="30" x14ac:dyDescent="0.3">
      <c r="A73" s="20">
        <v>12</v>
      </c>
      <c r="B73" s="21" t="s">
        <v>239</v>
      </c>
      <c r="C73" s="22" t="s">
        <v>170</v>
      </c>
      <c r="D73" s="23" t="s">
        <v>21</v>
      </c>
      <c r="E73" s="7"/>
      <c r="F73" s="72">
        <v>2</v>
      </c>
      <c r="G73" s="24"/>
      <c r="H73" s="25"/>
      <c r="I73" s="24"/>
      <c r="J73" s="26"/>
      <c r="K73" s="24"/>
      <c r="L73" s="25"/>
      <c r="M73" s="26"/>
      <c r="N73" s="24" t="s">
        <v>264</v>
      </c>
    </row>
    <row r="74" spans="1:16" s="53" customFormat="1" ht="30" x14ac:dyDescent="0.3">
      <c r="A74" s="37"/>
      <c r="B74" s="49" t="s">
        <v>34</v>
      </c>
      <c r="C74" s="37"/>
      <c r="D74" s="37" t="s">
        <v>58</v>
      </c>
      <c r="E74" s="51">
        <v>2.38</v>
      </c>
      <c r="F74" s="52">
        <f>E74*F73</f>
        <v>4.76</v>
      </c>
      <c r="G74" s="52"/>
      <c r="H74" s="48"/>
      <c r="I74" s="52"/>
      <c r="J74" s="52"/>
      <c r="K74" s="52"/>
      <c r="L74" s="48"/>
      <c r="M74" s="52"/>
      <c r="N74" s="52" t="s">
        <v>264</v>
      </c>
    </row>
    <row r="75" spans="1:16" s="53" customFormat="1" x14ac:dyDescent="0.3">
      <c r="A75" s="37"/>
      <c r="B75" s="74" t="s">
        <v>44</v>
      </c>
      <c r="C75" s="50"/>
      <c r="D75" s="37" t="s">
        <v>45</v>
      </c>
      <c r="E75" s="51">
        <v>1.54</v>
      </c>
      <c r="F75" s="52">
        <f>E75*F73</f>
        <v>3.08</v>
      </c>
      <c r="G75" s="52"/>
      <c r="H75" s="52"/>
      <c r="I75" s="52"/>
      <c r="J75" s="52"/>
      <c r="K75" s="52"/>
      <c r="L75" s="48"/>
      <c r="M75" s="52"/>
      <c r="N75" s="52" t="s">
        <v>264</v>
      </c>
    </row>
    <row r="76" spans="1:16" s="62" customFormat="1" ht="18" x14ac:dyDescent="0.25">
      <c r="A76" s="55"/>
      <c r="B76" s="56" t="s">
        <v>40</v>
      </c>
      <c r="C76" s="57"/>
      <c r="D76" s="58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1"/>
      <c r="P76" s="61"/>
    </row>
    <row r="77" spans="1:16" s="62" customFormat="1" ht="18" x14ac:dyDescent="0.25">
      <c r="A77" s="55"/>
      <c r="B77" s="122" t="s">
        <v>240</v>
      </c>
      <c r="C77" s="57" t="s">
        <v>171</v>
      </c>
      <c r="D77" s="58" t="s">
        <v>21</v>
      </c>
      <c r="E77" s="59">
        <v>1</v>
      </c>
      <c r="F77" s="60">
        <f>E77*F73</f>
        <v>2</v>
      </c>
      <c r="G77" s="60"/>
      <c r="H77" s="60"/>
      <c r="I77" s="60"/>
      <c r="J77" s="60"/>
      <c r="K77" s="60"/>
      <c r="L77" s="60"/>
      <c r="M77" s="60"/>
      <c r="N77" s="60" t="s">
        <v>265</v>
      </c>
      <c r="O77" s="61"/>
      <c r="P77" s="61"/>
    </row>
    <row r="78" spans="1:16" s="62" customFormat="1" ht="18" x14ac:dyDescent="0.25">
      <c r="A78" s="55"/>
      <c r="B78" s="63" t="s">
        <v>49</v>
      </c>
      <c r="C78" s="57"/>
      <c r="D78" s="58" t="s">
        <v>45</v>
      </c>
      <c r="E78" s="59">
        <v>0.54</v>
      </c>
      <c r="F78" s="60">
        <f>E78*F73</f>
        <v>1.08</v>
      </c>
      <c r="G78" s="48"/>
      <c r="H78" s="60"/>
      <c r="I78" s="60"/>
      <c r="J78" s="60"/>
      <c r="K78" s="60"/>
      <c r="L78" s="60"/>
      <c r="M78" s="60"/>
      <c r="N78" s="48" t="s">
        <v>264</v>
      </c>
      <c r="O78" s="61"/>
      <c r="P78" s="61"/>
    </row>
    <row r="79" spans="1:16" s="27" customFormat="1" ht="30" x14ac:dyDescent="0.3">
      <c r="A79" s="20">
        <v>13</v>
      </c>
      <c r="B79" s="21" t="s">
        <v>241</v>
      </c>
      <c r="C79" s="22" t="s">
        <v>172</v>
      </c>
      <c r="D79" s="23" t="s">
        <v>21</v>
      </c>
      <c r="E79" s="7"/>
      <c r="F79" s="72">
        <v>1</v>
      </c>
      <c r="G79" s="24"/>
      <c r="H79" s="25"/>
      <c r="I79" s="24"/>
      <c r="J79" s="26"/>
      <c r="K79" s="24"/>
      <c r="L79" s="25"/>
      <c r="M79" s="26"/>
      <c r="N79" s="24" t="s">
        <v>264</v>
      </c>
    </row>
    <row r="80" spans="1:16" s="53" customFormat="1" ht="30" x14ac:dyDescent="0.3">
      <c r="A80" s="37"/>
      <c r="B80" s="49" t="s">
        <v>34</v>
      </c>
      <c r="C80" s="37"/>
      <c r="D80" s="37" t="s">
        <v>58</v>
      </c>
      <c r="E80" s="51">
        <v>11.3</v>
      </c>
      <c r="F80" s="52">
        <f>E80*F79</f>
        <v>11.3</v>
      </c>
      <c r="G80" s="52"/>
      <c r="H80" s="48"/>
      <c r="I80" s="52"/>
      <c r="J80" s="52"/>
      <c r="K80" s="52"/>
      <c r="L80" s="48"/>
      <c r="M80" s="52"/>
      <c r="N80" s="52" t="s">
        <v>264</v>
      </c>
    </row>
    <row r="81" spans="1:16" s="53" customFormat="1" x14ac:dyDescent="0.3">
      <c r="A81" s="37"/>
      <c r="B81" s="74" t="s">
        <v>44</v>
      </c>
      <c r="C81" s="50"/>
      <c r="D81" s="37" t="s">
        <v>45</v>
      </c>
      <c r="E81" s="51">
        <v>6.9</v>
      </c>
      <c r="F81" s="52">
        <f>E81*F79</f>
        <v>6.9</v>
      </c>
      <c r="G81" s="52"/>
      <c r="H81" s="52"/>
      <c r="I81" s="52"/>
      <c r="J81" s="52"/>
      <c r="K81" s="52"/>
      <c r="L81" s="48"/>
      <c r="M81" s="52"/>
      <c r="N81" s="52" t="s">
        <v>264</v>
      </c>
    </row>
    <row r="82" spans="1:16" s="62" customFormat="1" ht="18" x14ac:dyDescent="0.25">
      <c r="A82" s="55"/>
      <c r="B82" s="56" t="s">
        <v>40</v>
      </c>
      <c r="C82" s="57"/>
      <c r="D82" s="58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61"/>
    </row>
    <row r="83" spans="1:16" s="62" customFormat="1" ht="30" x14ac:dyDescent="0.25">
      <c r="A83" s="55"/>
      <c r="B83" s="122" t="s">
        <v>242</v>
      </c>
      <c r="C83" s="57"/>
      <c r="D83" s="58" t="s">
        <v>21</v>
      </c>
      <c r="E83" s="59">
        <v>1</v>
      </c>
      <c r="F83" s="60">
        <f>E83*F79</f>
        <v>1</v>
      </c>
      <c r="G83" s="60"/>
      <c r="H83" s="60"/>
      <c r="I83" s="60"/>
      <c r="J83" s="60"/>
      <c r="K83" s="60"/>
      <c r="L83" s="60"/>
      <c r="M83" s="60"/>
      <c r="N83" s="60" t="s">
        <v>265</v>
      </c>
      <c r="O83" s="61"/>
      <c r="P83" s="61"/>
    </row>
    <row r="84" spans="1:16" s="62" customFormat="1" ht="18" x14ac:dyDescent="0.25">
      <c r="A84" s="55"/>
      <c r="B84" s="63" t="s">
        <v>49</v>
      </c>
      <c r="C84" s="57"/>
      <c r="D84" s="58" t="s">
        <v>45</v>
      </c>
      <c r="E84" s="59">
        <v>3.25</v>
      </c>
      <c r="F84" s="60">
        <f>E84*F79</f>
        <v>3.25</v>
      </c>
      <c r="G84" s="48"/>
      <c r="H84" s="60"/>
      <c r="I84" s="60"/>
      <c r="J84" s="60"/>
      <c r="K84" s="60"/>
      <c r="L84" s="60"/>
      <c r="M84" s="60"/>
      <c r="N84" s="48" t="s">
        <v>264</v>
      </c>
      <c r="O84" s="61"/>
      <c r="P84" s="61"/>
    </row>
    <row r="85" spans="1:16" ht="30" x14ac:dyDescent="0.25">
      <c r="A85" s="20">
        <v>14</v>
      </c>
      <c r="B85" s="21" t="s">
        <v>243</v>
      </c>
      <c r="C85" s="22" t="s">
        <v>172</v>
      </c>
      <c r="D85" s="23" t="s">
        <v>21</v>
      </c>
      <c r="E85" s="7"/>
      <c r="F85" s="72">
        <v>1</v>
      </c>
      <c r="G85" s="24"/>
      <c r="H85" s="25"/>
      <c r="I85" s="24"/>
      <c r="J85" s="26"/>
      <c r="K85" s="24"/>
      <c r="L85" s="25"/>
      <c r="M85" s="26"/>
      <c r="N85" s="24" t="s">
        <v>264</v>
      </c>
    </row>
    <row r="86" spans="1:16" s="53" customFormat="1" ht="30" x14ac:dyDescent="0.3">
      <c r="A86" s="37"/>
      <c r="B86" s="49" t="s">
        <v>34</v>
      </c>
      <c r="C86" s="37"/>
      <c r="D86" s="37" t="s">
        <v>58</v>
      </c>
      <c r="E86" s="51">
        <v>11.3</v>
      </c>
      <c r="F86" s="52">
        <f>E86*F85</f>
        <v>11.3</v>
      </c>
      <c r="G86" s="52"/>
      <c r="H86" s="48"/>
      <c r="I86" s="52"/>
      <c r="J86" s="52"/>
      <c r="K86" s="52"/>
      <c r="L86" s="48"/>
      <c r="M86" s="52"/>
      <c r="N86" s="52" t="s">
        <v>264</v>
      </c>
    </row>
    <row r="87" spans="1:16" s="53" customFormat="1" x14ac:dyDescent="0.3">
      <c r="A87" s="37"/>
      <c r="B87" s="64" t="s">
        <v>44</v>
      </c>
      <c r="C87" s="50"/>
      <c r="D87" s="37" t="s">
        <v>45</v>
      </c>
      <c r="E87" s="51">
        <v>6.9</v>
      </c>
      <c r="F87" s="52">
        <f>E87*F85</f>
        <v>6.9</v>
      </c>
      <c r="G87" s="52"/>
      <c r="H87" s="52"/>
      <c r="I87" s="52"/>
      <c r="J87" s="52"/>
      <c r="K87" s="52"/>
      <c r="L87" s="48"/>
      <c r="M87" s="52"/>
      <c r="N87" s="52" t="s">
        <v>264</v>
      </c>
    </row>
    <row r="88" spans="1:16" s="70" customFormat="1" ht="18" x14ac:dyDescent="0.3">
      <c r="A88" s="65"/>
      <c r="B88" s="66" t="s">
        <v>40</v>
      </c>
      <c r="C88" s="50"/>
      <c r="D88" s="67"/>
      <c r="E88" s="59"/>
      <c r="F88" s="48"/>
      <c r="G88" s="48"/>
      <c r="H88" s="48"/>
      <c r="I88" s="48"/>
      <c r="J88" s="48"/>
      <c r="K88" s="48"/>
      <c r="L88" s="48"/>
      <c r="M88" s="48"/>
      <c r="N88" s="48"/>
      <c r="O88" s="53"/>
      <c r="P88" s="53"/>
    </row>
    <row r="89" spans="1:16" s="70" customFormat="1" ht="30" x14ac:dyDescent="0.3">
      <c r="A89" s="65"/>
      <c r="B89" s="49" t="s">
        <v>243</v>
      </c>
      <c r="C89" s="50"/>
      <c r="D89" s="67" t="s">
        <v>21</v>
      </c>
      <c r="E89" s="59">
        <v>1</v>
      </c>
      <c r="F89" s="48">
        <f>E89*F85</f>
        <v>1</v>
      </c>
      <c r="G89" s="60"/>
      <c r="H89" s="48"/>
      <c r="I89" s="48"/>
      <c r="J89" s="48"/>
      <c r="K89" s="48"/>
      <c r="L89" s="48"/>
      <c r="M89" s="48"/>
      <c r="N89" s="60" t="s">
        <v>265</v>
      </c>
      <c r="O89" s="53"/>
      <c r="P89" s="53"/>
    </row>
    <row r="90" spans="1:16" s="70" customFormat="1" ht="18" x14ac:dyDescent="0.3">
      <c r="A90" s="65"/>
      <c r="B90" s="71" t="s">
        <v>49</v>
      </c>
      <c r="C90" s="50"/>
      <c r="D90" s="67" t="s">
        <v>45</v>
      </c>
      <c r="E90" s="59">
        <v>3.25</v>
      </c>
      <c r="F90" s="48">
        <f>E90*F85</f>
        <v>3.25</v>
      </c>
      <c r="G90" s="48"/>
      <c r="H90" s="48"/>
      <c r="I90" s="48"/>
      <c r="J90" s="48"/>
      <c r="K90" s="48"/>
      <c r="L90" s="48"/>
      <c r="M90" s="48"/>
      <c r="N90" s="48" t="s">
        <v>264</v>
      </c>
      <c r="O90" s="53"/>
      <c r="P90" s="53"/>
    </row>
    <row r="91" spans="1:16" s="27" customFormat="1" ht="30" x14ac:dyDescent="0.3">
      <c r="A91" s="20">
        <v>22</v>
      </c>
      <c r="B91" s="21" t="s">
        <v>56</v>
      </c>
      <c r="C91" s="22" t="s">
        <v>57</v>
      </c>
      <c r="D91" s="23" t="s">
        <v>55</v>
      </c>
      <c r="E91" s="7"/>
      <c r="F91" s="72">
        <v>5.4</v>
      </c>
      <c r="G91" s="24"/>
      <c r="H91" s="25"/>
      <c r="I91" s="24"/>
      <c r="J91" s="26"/>
      <c r="K91" s="24"/>
      <c r="L91" s="25"/>
      <c r="M91" s="26"/>
      <c r="N91" s="24" t="s">
        <v>264</v>
      </c>
    </row>
    <row r="92" spans="1:16" s="53" customFormat="1" ht="30" x14ac:dyDescent="0.3">
      <c r="A92" s="37"/>
      <c r="B92" s="49" t="s">
        <v>34</v>
      </c>
      <c r="C92" s="37"/>
      <c r="D92" s="37" t="s">
        <v>35</v>
      </c>
      <c r="E92" s="51">
        <v>134</v>
      </c>
      <c r="F92" s="52">
        <f>E92*F91</f>
        <v>723.6</v>
      </c>
      <c r="G92" s="52"/>
      <c r="H92" s="48"/>
      <c r="I92" s="52"/>
      <c r="J92" s="52"/>
      <c r="K92" s="52"/>
      <c r="L92" s="48"/>
      <c r="M92" s="52"/>
      <c r="N92" s="52" t="s">
        <v>264</v>
      </c>
    </row>
    <row r="93" spans="1:16" s="53" customFormat="1" x14ac:dyDescent="0.3">
      <c r="A93" s="37"/>
      <c r="B93" s="64" t="s">
        <v>44</v>
      </c>
      <c r="C93" s="50"/>
      <c r="D93" s="37" t="s">
        <v>45</v>
      </c>
      <c r="E93" s="51">
        <v>129</v>
      </c>
      <c r="F93" s="52">
        <f>E93*F91</f>
        <v>696.6</v>
      </c>
      <c r="G93" s="52"/>
      <c r="H93" s="52"/>
      <c r="I93" s="52"/>
      <c r="J93" s="52"/>
      <c r="K93" s="52"/>
      <c r="L93" s="48"/>
      <c r="M93" s="52"/>
      <c r="N93" s="52" t="s">
        <v>264</v>
      </c>
    </row>
    <row r="94" spans="1:16" s="70" customFormat="1" ht="18" x14ac:dyDescent="0.25">
      <c r="A94" s="65"/>
      <c r="B94" s="66" t="s">
        <v>40</v>
      </c>
      <c r="C94" s="50"/>
      <c r="D94" s="67"/>
      <c r="E94" s="68"/>
      <c r="F94" s="48"/>
      <c r="G94" s="48"/>
      <c r="H94" s="48"/>
      <c r="I94" s="48"/>
      <c r="J94" s="48"/>
      <c r="K94" s="48"/>
      <c r="L94" s="48"/>
      <c r="M94" s="48"/>
      <c r="N94" s="48"/>
      <c r="O94" s="69"/>
      <c r="P94" s="69"/>
    </row>
    <row r="95" spans="1:16" s="1" customFormat="1" ht="30" x14ac:dyDescent="0.25">
      <c r="A95" s="2"/>
      <c r="B95" s="124" t="s">
        <v>244</v>
      </c>
      <c r="C95" s="5"/>
      <c r="D95" s="4" t="s">
        <v>21</v>
      </c>
      <c r="E95" s="4"/>
      <c r="F95" s="52">
        <v>1</v>
      </c>
      <c r="G95" s="60"/>
      <c r="H95" s="48"/>
      <c r="I95" s="48"/>
      <c r="J95" s="48"/>
      <c r="K95" s="48"/>
      <c r="L95" s="48"/>
      <c r="M95" s="48"/>
      <c r="N95" s="60" t="s">
        <v>265</v>
      </c>
      <c r="O95" s="73"/>
    </row>
    <row r="96" spans="1:16" s="1" customFormat="1" ht="30" x14ac:dyDescent="0.25">
      <c r="A96" s="2"/>
      <c r="B96" s="124" t="s">
        <v>245</v>
      </c>
      <c r="C96" s="5"/>
      <c r="D96" s="4" t="s">
        <v>21</v>
      </c>
      <c r="E96" s="4"/>
      <c r="F96" s="52">
        <v>1</v>
      </c>
      <c r="G96" s="60"/>
      <c r="H96" s="48"/>
      <c r="I96" s="48"/>
      <c r="J96" s="48"/>
      <c r="K96" s="48"/>
      <c r="L96" s="48"/>
      <c r="M96" s="48"/>
      <c r="N96" s="60" t="s">
        <v>265</v>
      </c>
      <c r="O96" s="73"/>
    </row>
    <row r="97" spans="1:108" s="70" customFormat="1" ht="18" x14ac:dyDescent="0.25">
      <c r="A97" s="65"/>
      <c r="B97" s="71" t="s">
        <v>49</v>
      </c>
      <c r="C97" s="50"/>
      <c r="D97" s="67" t="s">
        <v>45</v>
      </c>
      <c r="E97" s="68">
        <v>45.2</v>
      </c>
      <c r="F97" s="48">
        <f>E97*F91</f>
        <v>244.08000000000004</v>
      </c>
      <c r="G97" s="48"/>
      <c r="H97" s="48"/>
      <c r="I97" s="48"/>
      <c r="J97" s="48"/>
      <c r="K97" s="48"/>
      <c r="L97" s="48"/>
      <c r="M97" s="48"/>
      <c r="N97" s="48" t="s">
        <v>264</v>
      </c>
      <c r="O97" s="69"/>
      <c r="P97" s="69"/>
    </row>
    <row r="98" spans="1:108" s="53" customFormat="1" ht="30" x14ac:dyDescent="0.3">
      <c r="A98" s="20">
        <v>23</v>
      </c>
      <c r="B98" s="21" t="s">
        <v>246</v>
      </c>
      <c r="C98" s="22" t="s">
        <v>57</v>
      </c>
      <c r="D98" s="23" t="s">
        <v>112</v>
      </c>
      <c r="E98" s="7"/>
      <c r="F98" s="72">
        <f>F102*34/1000</f>
        <v>1.3600000000000001E-2</v>
      </c>
      <c r="G98" s="24"/>
      <c r="H98" s="25"/>
      <c r="I98" s="24"/>
      <c r="J98" s="26"/>
      <c r="K98" s="24"/>
      <c r="L98" s="25"/>
      <c r="M98" s="26"/>
      <c r="N98" s="24" t="s">
        <v>264</v>
      </c>
    </row>
    <row r="99" spans="1:108" s="90" customFormat="1" ht="30" x14ac:dyDescent="0.25">
      <c r="A99" s="88"/>
      <c r="B99" s="74" t="s">
        <v>127</v>
      </c>
      <c r="C99" s="88"/>
      <c r="D99" s="89" t="s">
        <v>58</v>
      </c>
      <c r="E99" s="89">
        <v>134</v>
      </c>
      <c r="F99" s="56">
        <f>E99*F98</f>
        <v>1.8224</v>
      </c>
      <c r="G99" s="56"/>
      <c r="H99" s="56"/>
      <c r="I99" s="56"/>
      <c r="J99" s="56"/>
      <c r="K99" s="56"/>
      <c r="L99" s="56"/>
      <c r="M99" s="56"/>
      <c r="N99" s="56" t="s">
        <v>264</v>
      </c>
    </row>
    <row r="100" spans="1:108" s="90" customFormat="1" x14ac:dyDescent="0.25">
      <c r="A100" s="91"/>
      <c r="B100" s="74" t="s">
        <v>44</v>
      </c>
      <c r="C100" s="88"/>
      <c r="D100" s="56" t="s">
        <v>45</v>
      </c>
      <c r="E100" s="89">
        <v>129</v>
      </c>
      <c r="F100" s="56">
        <f>E100*F98</f>
        <v>1.7544000000000002</v>
      </c>
      <c r="G100" s="56"/>
      <c r="H100" s="56"/>
      <c r="I100" s="56"/>
      <c r="J100" s="56"/>
      <c r="K100" s="56"/>
      <c r="L100" s="56"/>
      <c r="M100" s="56"/>
      <c r="N100" s="56" t="s">
        <v>264</v>
      </c>
    </row>
    <row r="101" spans="1:108" s="94" customFormat="1" x14ac:dyDescent="0.25">
      <c r="A101" s="93"/>
      <c r="B101" s="88" t="s">
        <v>40</v>
      </c>
      <c r="C101" s="88"/>
      <c r="D101" s="89"/>
      <c r="E101" s="89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08" s="62" customFormat="1" ht="30" x14ac:dyDescent="0.25">
      <c r="A102" s="55"/>
      <c r="B102" s="49" t="s">
        <v>247</v>
      </c>
      <c r="C102" s="50" t="s">
        <v>47</v>
      </c>
      <c r="D102" s="58" t="s">
        <v>48</v>
      </c>
      <c r="E102" s="59" t="s">
        <v>113</v>
      </c>
      <c r="F102" s="60">
        <f>0.2*2</f>
        <v>0.4</v>
      </c>
      <c r="G102" s="60"/>
      <c r="H102" s="60"/>
      <c r="I102" s="60"/>
      <c r="J102" s="60"/>
      <c r="K102" s="60"/>
      <c r="L102" s="60"/>
      <c r="M102" s="60"/>
      <c r="N102" s="60" t="s">
        <v>264</v>
      </c>
      <c r="O102" s="61"/>
      <c r="P102" s="61"/>
    </row>
    <row r="103" spans="1:108" s="62" customFormat="1" ht="30" x14ac:dyDescent="0.25">
      <c r="A103" s="55"/>
      <c r="B103" s="49" t="s">
        <v>248</v>
      </c>
      <c r="C103" s="50" t="s">
        <v>47</v>
      </c>
      <c r="D103" s="58" t="s">
        <v>48</v>
      </c>
      <c r="E103" s="59" t="s">
        <v>113</v>
      </c>
      <c r="F103" s="60">
        <f>0.2*2</f>
        <v>0.4</v>
      </c>
      <c r="G103" s="60"/>
      <c r="H103" s="60"/>
      <c r="I103" s="60"/>
      <c r="J103" s="60"/>
      <c r="K103" s="60"/>
      <c r="L103" s="60"/>
      <c r="M103" s="60"/>
      <c r="N103" s="60" t="s">
        <v>264</v>
      </c>
      <c r="O103" s="61"/>
      <c r="P103" s="61"/>
    </row>
    <row r="104" spans="1:108" s="62" customFormat="1" ht="18" x14ac:dyDescent="0.25">
      <c r="A104" s="55"/>
      <c r="B104" s="63" t="s">
        <v>49</v>
      </c>
      <c r="C104" s="57"/>
      <c r="D104" s="58" t="s">
        <v>45</v>
      </c>
      <c r="E104" s="59">
        <v>45.2</v>
      </c>
      <c r="F104" s="60">
        <f>E104*F98</f>
        <v>0.61472000000000004</v>
      </c>
      <c r="G104" s="48"/>
      <c r="H104" s="60"/>
      <c r="I104" s="60"/>
      <c r="J104" s="60"/>
      <c r="K104" s="60"/>
      <c r="L104" s="60"/>
      <c r="M104" s="60"/>
      <c r="N104" s="48" t="s">
        <v>264</v>
      </c>
      <c r="O104" s="61"/>
      <c r="P104" s="61"/>
    </row>
    <row r="105" spans="1:108" s="106" customFormat="1" ht="30" x14ac:dyDescent="0.3">
      <c r="A105" s="20">
        <v>24</v>
      </c>
      <c r="B105" s="21" t="s">
        <v>234</v>
      </c>
      <c r="C105" s="22" t="s">
        <v>126</v>
      </c>
      <c r="D105" s="23" t="s">
        <v>112</v>
      </c>
      <c r="E105" s="7"/>
      <c r="F105" s="72">
        <f>24/1000</f>
        <v>2.4E-2</v>
      </c>
      <c r="G105" s="24"/>
      <c r="H105" s="25"/>
      <c r="I105" s="24"/>
      <c r="J105" s="26"/>
      <c r="K105" s="24"/>
      <c r="L105" s="25"/>
      <c r="M105" s="26"/>
      <c r="N105" s="24" t="s">
        <v>264</v>
      </c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</row>
    <row r="106" spans="1:108" s="90" customFormat="1" ht="30" x14ac:dyDescent="0.25">
      <c r="A106" s="88"/>
      <c r="B106" s="74" t="s">
        <v>127</v>
      </c>
      <c r="C106" s="88"/>
      <c r="D106" s="89" t="s">
        <v>137</v>
      </c>
      <c r="E106" s="89">
        <v>53.8</v>
      </c>
      <c r="F106" s="56">
        <f>E106*F105</f>
        <v>1.2911999999999999</v>
      </c>
      <c r="G106" s="56"/>
      <c r="H106" s="56"/>
      <c r="I106" s="56"/>
      <c r="J106" s="56"/>
      <c r="K106" s="56"/>
      <c r="L106" s="56"/>
      <c r="M106" s="56"/>
      <c r="N106" s="56" t="s">
        <v>264</v>
      </c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</row>
    <row r="107" spans="1:108" s="108" customFormat="1" ht="30" x14ac:dyDescent="0.3">
      <c r="A107" s="75"/>
      <c r="B107" s="76" t="s">
        <v>128</v>
      </c>
      <c r="C107" s="80" t="s">
        <v>129</v>
      </c>
      <c r="D107" s="75" t="s">
        <v>31</v>
      </c>
      <c r="E107" s="77">
        <v>0.35</v>
      </c>
      <c r="F107" s="78">
        <f>E107*F105</f>
        <v>8.3999999999999995E-3</v>
      </c>
      <c r="G107" s="78"/>
      <c r="H107" s="78"/>
      <c r="I107" s="78"/>
      <c r="J107" s="78"/>
      <c r="K107" s="78"/>
      <c r="L107" s="79"/>
      <c r="M107" s="78"/>
      <c r="N107" s="78" t="s">
        <v>264</v>
      </c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</row>
    <row r="108" spans="1:108" s="90" customFormat="1" x14ac:dyDescent="0.25">
      <c r="A108" s="91"/>
      <c r="B108" s="74" t="s">
        <v>44</v>
      </c>
      <c r="C108" s="88"/>
      <c r="D108" s="56" t="s">
        <v>45</v>
      </c>
      <c r="E108" s="89">
        <v>18.399999999999999</v>
      </c>
      <c r="F108" s="56">
        <f>E108*F105</f>
        <v>0.44159999999999999</v>
      </c>
      <c r="G108" s="56"/>
      <c r="H108" s="56"/>
      <c r="I108" s="56"/>
      <c r="J108" s="56"/>
      <c r="K108" s="56"/>
      <c r="L108" s="56"/>
      <c r="M108" s="56"/>
      <c r="N108" s="56" t="s">
        <v>264</v>
      </c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</row>
    <row r="109" spans="1:108" s="90" customFormat="1" ht="18" x14ac:dyDescent="0.25">
      <c r="A109" s="81"/>
      <c r="B109" s="56" t="s">
        <v>40</v>
      </c>
      <c r="C109" s="57"/>
      <c r="D109" s="82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109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</row>
    <row r="110" spans="1:108" s="90" customFormat="1" ht="18" x14ac:dyDescent="0.25">
      <c r="A110" s="81"/>
      <c r="B110" s="76" t="s">
        <v>235</v>
      </c>
      <c r="C110" s="57" t="s">
        <v>130</v>
      </c>
      <c r="D110" s="82" t="s">
        <v>112</v>
      </c>
      <c r="E110" s="59">
        <v>1</v>
      </c>
      <c r="F110" s="60">
        <f>E110*F105</f>
        <v>2.4E-2</v>
      </c>
      <c r="G110" s="79"/>
      <c r="H110" s="60"/>
      <c r="I110" s="60"/>
      <c r="J110" s="60"/>
      <c r="K110" s="60"/>
      <c r="L110" s="60"/>
      <c r="M110" s="60"/>
      <c r="N110" s="79" t="s">
        <v>264</v>
      </c>
      <c r="O110" s="109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</row>
    <row r="111" spans="1:108" s="90" customFormat="1" ht="18" x14ac:dyDescent="0.25">
      <c r="A111" s="81"/>
      <c r="B111" s="76" t="s">
        <v>131</v>
      </c>
      <c r="C111" s="57" t="s">
        <v>132</v>
      </c>
      <c r="D111" s="82" t="s">
        <v>167</v>
      </c>
      <c r="E111" s="59">
        <v>24.4</v>
      </c>
      <c r="F111" s="60">
        <f>E111*F105</f>
        <v>0.58560000000000001</v>
      </c>
      <c r="G111" s="79"/>
      <c r="H111" s="60"/>
      <c r="I111" s="60"/>
      <c r="J111" s="60"/>
      <c r="K111" s="60"/>
      <c r="L111" s="60"/>
      <c r="M111" s="60"/>
      <c r="N111" s="79" t="s">
        <v>264</v>
      </c>
      <c r="O111" s="109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</row>
    <row r="112" spans="1:108" s="90" customFormat="1" ht="18" x14ac:dyDescent="0.25">
      <c r="A112" s="81"/>
      <c r="B112" s="110" t="s">
        <v>49</v>
      </c>
      <c r="C112" s="57"/>
      <c r="D112" s="82" t="s">
        <v>45</v>
      </c>
      <c r="E112" s="59">
        <v>2.78</v>
      </c>
      <c r="F112" s="60">
        <f>E112*F105</f>
        <v>6.6720000000000002E-2</v>
      </c>
      <c r="G112" s="79"/>
      <c r="H112" s="60"/>
      <c r="I112" s="60"/>
      <c r="J112" s="60"/>
      <c r="K112" s="60"/>
      <c r="L112" s="60"/>
      <c r="M112" s="60"/>
      <c r="N112" s="79" t="s">
        <v>264</v>
      </c>
      <c r="O112" s="109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</row>
    <row r="113" spans="1:14" s="53" customFormat="1" x14ac:dyDescent="0.3">
      <c r="A113" s="34"/>
      <c r="B113" s="49"/>
      <c r="C113" s="37"/>
      <c r="D113" s="37"/>
      <c r="E113" s="133"/>
      <c r="F113" s="51"/>
      <c r="G113" s="133"/>
      <c r="H113" s="52"/>
      <c r="I113" s="133"/>
      <c r="J113" s="52"/>
      <c r="K113" s="133"/>
      <c r="L113" s="52"/>
      <c r="M113" s="52"/>
      <c r="N113" s="134"/>
    </row>
    <row r="114" spans="1:14" s="39" customFormat="1" x14ac:dyDescent="0.25">
      <c r="A114" s="28"/>
      <c r="B114" s="29" t="s">
        <v>9</v>
      </c>
      <c r="C114" s="30"/>
      <c r="D114" s="28"/>
      <c r="E114" s="28"/>
      <c r="F114" s="28"/>
      <c r="G114" s="28"/>
      <c r="H114" s="32">
        <f>SUM(H7:H113)</f>
        <v>0</v>
      </c>
      <c r="I114" s="32"/>
      <c r="J114" s="32">
        <f>SUM(J7:J113)</f>
        <v>0</v>
      </c>
      <c r="K114" s="32"/>
      <c r="L114" s="32">
        <f>SUM(L7:L113)</f>
        <v>0</v>
      </c>
      <c r="M114" s="32">
        <f>SUM(M7:M113)</f>
        <v>0</v>
      </c>
      <c r="N114" s="128"/>
    </row>
    <row r="115" spans="1:14" s="39" customFormat="1" x14ac:dyDescent="0.25">
      <c r="A115" s="33"/>
      <c r="B115" s="34" t="s">
        <v>22</v>
      </c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8">
        <f>M114*C115</f>
        <v>0</v>
      </c>
      <c r="N115" s="129"/>
    </row>
    <row r="116" spans="1:14" s="135" customFormat="1" x14ac:dyDescent="0.25">
      <c r="A116" s="40"/>
      <c r="B116" s="29" t="s">
        <v>9</v>
      </c>
      <c r="C116" s="41"/>
      <c r="D116" s="29"/>
      <c r="E116" s="29"/>
      <c r="F116" s="97"/>
      <c r="G116" s="29"/>
      <c r="H116" s="43"/>
      <c r="I116" s="43"/>
      <c r="J116" s="43"/>
      <c r="K116" s="43"/>
      <c r="L116" s="44"/>
      <c r="M116" s="45">
        <f>SUM(M114:M115)</f>
        <v>0</v>
      </c>
      <c r="N116" s="130"/>
    </row>
    <row r="117" spans="1:14" s="39" customFormat="1" x14ac:dyDescent="0.25">
      <c r="A117" s="33"/>
      <c r="B117" s="34" t="s">
        <v>23</v>
      </c>
      <c r="C117" s="35"/>
      <c r="D117" s="37"/>
      <c r="E117" s="37"/>
      <c r="F117" s="67"/>
      <c r="G117" s="37"/>
      <c r="H117" s="47"/>
      <c r="I117" s="47"/>
      <c r="J117" s="47"/>
      <c r="K117" s="47"/>
      <c r="L117" s="48"/>
      <c r="M117" s="38">
        <f>M116*C117</f>
        <v>0</v>
      </c>
      <c r="N117" s="129"/>
    </row>
    <row r="118" spans="1:14" s="135" customFormat="1" x14ac:dyDescent="0.25">
      <c r="A118" s="40"/>
      <c r="B118" s="29" t="s">
        <v>9</v>
      </c>
      <c r="C118" s="41"/>
      <c r="D118" s="29"/>
      <c r="E118" s="29"/>
      <c r="F118" s="97"/>
      <c r="G118" s="29"/>
      <c r="H118" s="44"/>
      <c r="I118" s="43"/>
      <c r="J118" s="44"/>
      <c r="K118" s="43"/>
      <c r="L118" s="44"/>
      <c r="M118" s="45">
        <f>M117+M116</f>
        <v>0</v>
      </c>
      <c r="N118" s="131"/>
    </row>
    <row r="119" spans="1:14" x14ac:dyDescent="0.25">
      <c r="A119"/>
      <c r="B119"/>
      <c r="C119"/>
      <c r="D119"/>
      <c r="E119"/>
      <c r="F119"/>
    </row>
    <row r="120" spans="1:14" x14ac:dyDescent="0.25">
      <c r="A120"/>
      <c r="B120"/>
      <c r="C120"/>
      <c r="D120"/>
      <c r="E120"/>
      <c r="F120"/>
    </row>
  </sheetData>
  <mergeCells count="13">
    <mergeCell ref="N4:N5"/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45" right="0.25" top="0.45" bottom="0.45" header="0.3" footer="0.3"/>
  <pageSetup scale="64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მილი</vt:lpstr>
      <vt:lpstr>ვანტუზი</vt:lpstr>
      <vt:lpstr>ურდულის ჭა ვანტუზით და დამცლელი</vt:lpstr>
      <vt:lpstr>განშტოების ჭა</vt:lpstr>
      <vt:lpstr>'განშტოების ჭა'!Print_Area</vt:lpstr>
      <vt:lpstr>ვანტუზი!Print_Area</vt:lpstr>
      <vt:lpstr>მილი!Print_Area</vt:lpstr>
      <vt:lpstr>'ურდულის ჭა ვანტუზით და დამცლელი'!Print_Area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</dc:creator>
  <cp:lastModifiedBy>Mariam Silagadze</cp:lastModifiedBy>
  <cp:lastPrinted>2019-12-26T09:41:21Z</cp:lastPrinted>
  <dcterms:created xsi:type="dcterms:W3CDTF">2019-12-03T06:46:53Z</dcterms:created>
  <dcterms:modified xsi:type="dcterms:W3CDTF">2020-08-13T08:26:46Z</dcterms:modified>
</cp:coreProperties>
</file>